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lo1\Desktop\E3 Fek 2 Excel\"/>
    </mc:Choice>
  </mc:AlternateContent>
  <bookViews>
    <workbookView xWindow="0" yWindow="0" windowWidth="19185" windowHeight="11445" firstSheet="5" activeTab="24"/>
  </bookViews>
  <sheets>
    <sheet name="2.13" sheetId="1" r:id="rId1"/>
    <sheet name="8.9" sheetId="2" r:id="rId2"/>
    <sheet name="8.10" sheetId="3" r:id="rId3"/>
    <sheet name="8.11" sheetId="4" r:id="rId4"/>
    <sheet name="8.12" sheetId="5" r:id="rId5"/>
    <sheet name="8.13" sheetId="6" r:id="rId6"/>
    <sheet name="8.14" sheetId="7" r:id="rId7"/>
    <sheet name="8.15" sheetId="8" r:id="rId8"/>
    <sheet name="8.17" sheetId="9" r:id="rId9"/>
    <sheet name="9.4" sheetId="10" r:id="rId10"/>
    <sheet name="9.5" sheetId="11" r:id="rId11"/>
    <sheet name="9.6" sheetId="12" r:id="rId12"/>
    <sheet name="9.12" sheetId="13" r:id="rId13"/>
    <sheet name="10.9" sheetId="14" r:id="rId14"/>
    <sheet name="10.10" sheetId="15" r:id="rId15"/>
    <sheet name="10.11" sheetId="16" r:id="rId16"/>
    <sheet name="22.3" sheetId="17" r:id="rId17"/>
    <sheet name="22.4" sheetId="18" r:id="rId18"/>
    <sheet name="23.2" sheetId="19" r:id="rId19"/>
    <sheet name="23.3" sheetId="20" r:id="rId20"/>
    <sheet name="23.4" sheetId="21" r:id="rId21"/>
    <sheet name="23.5" sheetId="22" r:id="rId22"/>
    <sheet name="23.7" sheetId="25" r:id="rId23"/>
    <sheet name="23.8" sheetId="23" r:id="rId24"/>
    <sheet name="23.9" sheetId="24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5" l="1"/>
  <c r="F12" i="25"/>
  <c r="F11" i="25"/>
  <c r="F10" i="25"/>
  <c r="F9" i="25"/>
  <c r="F8" i="25"/>
  <c r="C46" i="25"/>
  <c r="C54" i="25" s="1"/>
  <c r="C39" i="25"/>
  <c r="C37" i="25"/>
  <c r="C26" i="25"/>
  <c r="G25" i="21" l="1"/>
  <c r="F25" i="21"/>
  <c r="G24" i="21"/>
  <c r="F24" i="21"/>
  <c r="G23" i="21"/>
  <c r="F23" i="21"/>
  <c r="G22" i="21"/>
  <c r="F22" i="21"/>
  <c r="G21" i="21"/>
  <c r="F21" i="21"/>
  <c r="G20" i="21"/>
  <c r="F20" i="21"/>
  <c r="E23" i="19"/>
  <c r="E22" i="19"/>
  <c r="E21" i="19"/>
  <c r="E20" i="19"/>
  <c r="E19" i="19"/>
  <c r="E18" i="19"/>
  <c r="E12" i="15" l="1"/>
  <c r="E10" i="15"/>
  <c r="E9" i="15"/>
  <c r="E8" i="15"/>
  <c r="G20" i="3" l="1"/>
  <c r="G17" i="3"/>
  <c r="G16" i="3"/>
  <c r="G15" i="3"/>
  <c r="G14" i="3"/>
  <c r="G13" i="3"/>
  <c r="G12" i="3"/>
  <c r="G11" i="3"/>
  <c r="G10" i="3"/>
  <c r="G9" i="3"/>
  <c r="G6" i="3"/>
  <c r="F18" i="3"/>
  <c r="F20" i="3" s="1"/>
  <c r="E17" i="3"/>
  <c r="E16" i="3"/>
  <c r="E15" i="3"/>
  <c r="E14" i="3"/>
  <c r="E13" i="3"/>
  <c r="E12" i="3"/>
  <c r="E11" i="3"/>
  <c r="E9" i="3"/>
  <c r="E18" i="3" s="1"/>
  <c r="E20" i="3" s="1"/>
  <c r="E12" i="2"/>
  <c r="E11" i="2"/>
  <c r="E10" i="2"/>
  <c r="E8" i="2"/>
  <c r="E9" i="2"/>
  <c r="E13" i="2" s="1"/>
  <c r="E16" i="2" s="1"/>
  <c r="E5" i="2"/>
  <c r="G18" i="3" l="1"/>
  <c r="B31" i="24" l="1"/>
  <c r="B24" i="24"/>
  <c r="B33" i="24" s="1"/>
  <c r="H10" i="24" s="1"/>
  <c r="B17" i="24"/>
  <c r="H11" i="24" s="1"/>
  <c r="B15" i="24"/>
  <c r="H12" i="24"/>
  <c r="E10" i="24"/>
  <c r="E13" i="24" s="1"/>
  <c r="H9" i="24"/>
  <c r="B8" i="24"/>
  <c r="H8" i="24" l="1"/>
  <c r="H7" i="24"/>
  <c r="C87" i="23"/>
  <c r="B87" i="23"/>
  <c r="C81" i="23"/>
  <c r="B81" i="23"/>
  <c r="C76" i="23"/>
  <c r="B76" i="23"/>
  <c r="C71" i="23"/>
  <c r="C72" i="23" s="1"/>
  <c r="B71" i="23"/>
  <c r="B72" i="23" s="1"/>
  <c r="C66" i="23"/>
  <c r="B66" i="23"/>
  <c r="C55" i="23"/>
  <c r="C58" i="23" s="1"/>
  <c r="B55" i="23"/>
  <c r="B58" i="23" s="1"/>
  <c r="C50" i="23"/>
  <c r="B50" i="23"/>
  <c r="C44" i="23"/>
  <c r="B44" i="23"/>
  <c r="C38" i="23"/>
  <c r="C45" i="23" s="1"/>
  <c r="B38" i="23"/>
  <c r="B45" i="23" s="1"/>
  <c r="B14" i="23"/>
  <c r="B20" i="23" s="1"/>
  <c r="C13" i="23"/>
  <c r="B13" i="23"/>
  <c r="C7" i="23"/>
  <c r="C14" i="23" s="1"/>
  <c r="C20" i="23" s="1"/>
  <c r="C23" i="23" s="1"/>
  <c r="B7" i="23"/>
  <c r="F9" i="23" l="1"/>
  <c r="B60" i="23"/>
  <c r="F11" i="23" s="1"/>
  <c r="B23" i="23"/>
  <c r="B27" i="23" s="1"/>
  <c r="C60" i="23"/>
  <c r="G11" i="23" s="1"/>
  <c r="G9" i="23"/>
  <c r="B89" i="23"/>
  <c r="F10" i="23" s="1"/>
  <c r="C27" i="23"/>
  <c r="C89" i="23"/>
  <c r="G10" i="23" s="1"/>
  <c r="B24" i="22" l="1"/>
  <c r="D23" i="22"/>
  <c r="D24" i="22" s="1"/>
  <c r="C23" i="22"/>
  <c r="C24" i="22" s="1"/>
  <c r="B23" i="22"/>
  <c r="D22" i="22"/>
  <c r="C22" i="22"/>
  <c r="B22" i="22"/>
  <c r="D21" i="22"/>
  <c r="C21" i="22"/>
  <c r="B21" i="22"/>
  <c r="C27" i="21" l="1"/>
  <c r="C29" i="21" s="1"/>
  <c r="B27" i="21"/>
  <c r="B29" i="21" s="1"/>
  <c r="C12" i="21"/>
  <c r="C14" i="21" s="1"/>
  <c r="B12" i="21"/>
  <c r="B14" i="21" s="1"/>
  <c r="G6" i="21"/>
  <c r="G11" i="21" s="1"/>
  <c r="G14" i="21" s="1"/>
  <c r="G16" i="21" s="1"/>
  <c r="F6" i="21"/>
  <c r="F11" i="21" s="1"/>
  <c r="F14" i="21" s="1"/>
  <c r="F16" i="21" s="1"/>
  <c r="F17" i="20" l="1"/>
  <c r="E17" i="20"/>
  <c r="D17" i="20"/>
  <c r="C17" i="20"/>
  <c r="B17" i="20"/>
  <c r="B27" i="19" l="1"/>
  <c r="B25" i="19"/>
  <c r="B13" i="19"/>
  <c r="B11" i="19"/>
  <c r="E5" i="19"/>
  <c r="E10" i="19" s="1"/>
  <c r="E13" i="19" s="1"/>
  <c r="E15" i="19" s="1"/>
  <c r="I17" i="18" l="1"/>
  <c r="I12" i="18"/>
  <c r="C35" i="18"/>
  <c r="C37" i="18" s="1"/>
  <c r="C28" i="18"/>
  <c r="C21" i="18"/>
  <c r="C19" i="18"/>
  <c r="C7" i="18"/>
  <c r="C52" i="17" l="1"/>
  <c r="C54" i="17" s="1"/>
  <c r="C46" i="17"/>
  <c r="C39" i="17"/>
  <c r="C37" i="17"/>
  <c r="C25" i="17"/>
  <c r="C11" i="17"/>
  <c r="C16" i="17" s="1"/>
  <c r="B12" i="16" l="1"/>
  <c r="B7" i="16"/>
  <c r="B14" i="16" s="1"/>
  <c r="B10" i="15" l="1"/>
  <c r="B12" i="15" s="1"/>
  <c r="F11" i="14" l="1"/>
  <c r="F10" i="14"/>
  <c r="F9" i="14"/>
  <c r="F8" i="14"/>
  <c r="F12" i="14" s="1"/>
  <c r="F5" i="14"/>
  <c r="B11" i="14"/>
  <c r="B10" i="14"/>
  <c r="B9" i="14"/>
  <c r="B8" i="14"/>
  <c r="B12" i="14" s="1"/>
  <c r="B5" i="14"/>
  <c r="B14" i="14" s="1"/>
  <c r="F14" i="14" l="1"/>
  <c r="D26" i="13"/>
  <c r="D25" i="13"/>
  <c r="D28" i="13" s="1"/>
  <c r="C17" i="13"/>
  <c r="B17" i="13"/>
  <c r="D16" i="13"/>
  <c r="D15" i="13"/>
  <c r="D17" i="13" s="1"/>
  <c r="D14" i="13"/>
  <c r="D13" i="13"/>
  <c r="D9" i="13"/>
  <c r="C6" i="13"/>
  <c r="D6" i="13" s="1"/>
  <c r="D10" i="13" s="1"/>
  <c r="B6" i="13"/>
  <c r="B10" i="13" s="1"/>
  <c r="B19" i="13" s="1"/>
  <c r="C10" i="13" l="1"/>
  <c r="C19" i="13" s="1"/>
  <c r="D19" i="13" s="1"/>
  <c r="D30" i="13" s="1"/>
  <c r="B14" i="12"/>
  <c r="C12" i="12"/>
  <c r="C14" i="12" s="1"/>
  <c r="B12" i="12"/>
  <c r="D11" i="12"/>
  <c r="D10" i="12"/>
  <c r="D9" i="12"/>
  <c r="D12" i="12" s="1"/>
  <c r="D17" i="12" l="1"/>
  <c r="D14" i="12"/>
  <c r="B16" i="11"/>
  <c r="C14" i="11"/>
  <c r="C16" i="11" s="1"/>
  <c r="B14" i="11"/>
  <c r="D13" i="11"/>
  <c r="D12" i="11"/>
  <c r="D11" i="11"/>
  <c r="D10" i="11"/>
  <c r="D9" i="11"/>
  <c r="D14" i="11" s="1"/>
  <c r="D6" i="11"/>
  <c r="D18" i="11" l="1"/>
  <c r="D16" i="11"/>
  <c r="C14" i="10"/>
  <c r="B14" i="10"/>
  <c r="C12" i="10"/>
  <c r="B12" i="10"/>
  <c r="D11" i="10"/>
  <c r="D10" i="10"/>
  <c r="D9" i="10"/>
  <c r="D12" i="10" s="1"/>
  <c r="D6" i="10"/>
  <c r="D16" i="10" s="1"/>
  <c r="D14" i="10" l="1"/>
  <c r="G26" i="9"/>
  <c r="F26" i="9"/>
  <c r="F28" i="9" s="1"/>
  <c r="G27" i="9" s="1"/>
  <c r="H24" i="9"/>
  <c r="G24" i="9"/>
  <c r="F24" i="9"/>
  <c r="H9" i="9"/>
  <c r="H26" i="9" s="1"/>
  <c r="G9" i="9"/>
  <c r="F9" i="9"/>
  <c r="B20" i="9"/>
  <c r="B19" i="9"/>
  <c r="B18" i="9"/>
  <c r="B13" i="9"/>
  <c r="B12" i="9"/>
  <c r="B11" i="9"/>
  <c r="B21" i="9" s="1"/>
  <c r="B7" i="9"/>
  <c r="B6" i="9"/>
  <c r="B8" i="9" s="1"/>
  <c r="B23" i="9" s="1"/>
  <c r="G28" i="9" l="1"/>
  <c r="H27" i="9" s="1"/>
  <c r="H28" i="9" s="1"/>
  <c r="D15" i="8" l="1"/>
  <c r="D17" i="8" s="1"/>
  <c r="C15" i="8"/>
  <c r="C17" i="8" s="1"/>
  <c r="B15" i="8"/>
  <c r="B17" i="8" s="1"/>
  <c r="B19" i="8" s="1"/>
  <c r="C18" i="8" s="1"/>
  <c r="C19" i="8" l="1"/>
  <c r="D18" i="8" s="1"/>
  <c r="D19" i="8" s="1"/>
  <c r="B18" i="7"/>
  <c r="B20" i="7" s="1"/>
  <c r="C19" i="7" s="1"/>
  <c r="D16" i="7"/>
  <c r="D18" i="7" s="1"/>
  <c r="C16" i="7"/>
  <c r="C18" i="7" s="1"/>
  <c r="B16" i="7"/>
  <c r="C20" i="7" l="1"/>
  <c r="D19" i="7" s="1"/>
  <c r="D20" i="7" s="1"/>
  <c r="C15" i="6"/>
  <c r="B15" i="6"/>
  <c r="B17" i="6" s="1"/>
  <c r="C16" i="6" s="1"/>
  <c r="D13" i="6"/>
  <c r="D15" i="6" s="1"/>
  <c r="C13" i="6"/>
  <c r="B13" i="6"/>
  <c r="C17" i="6" l="1"/>
  <c r="D16" i="6" s="1"/>
  <c r="D17" i="6" s="1"/>
  <c r="C16" i="5"/>
  <c r="C18" i="5" s="1"/>
  <c r="B16" i="5"/>
  <c r="B18" i="5" s="1"/>
  <c r="D14" i="5"/>
  <c r="D13" i="5"/>
  <c r="D12" i="5"/>
  <c r="D11" i="5"/>
  <c r="D10" i="5"/>
  <c r="D9" i="5"/>
  <c r="D6" i="5"/>
  <c r="D16" i="5" l="1"/>
  <c r="D18" i="5"/>
  <c r="D16" i="4" l="1"/>
  <c r="C16" i="4"/>
  <c r="C18" i="4" s="1"/>
  <c r="D18" i="4" s="1"/>
  <c r="B16" i="4"/>
  <c r="B18" i="4" s="1"/>
  <c r="D14" i="4"/>
  <c r="D13" i="4"/>
  <c r="D12" i="4"/>
  <c r="D11" i="4"/>
  <c r="D10" i="4"/>
  <c r="D9" i="4"/>
  <c r="D6" i="4"/>
  <c r="B17" i="3" l="1"/>
  <c r="B16" i="3"/>
  <c r="B15" i="3"/>
  <c r="B14" i="3"/>
  <c r="B13" i="3"/>
  <c r="B12" i="3"/>
  <c r="B11" i="3"/>
  <c r="B9" i="3"/>
  <c r="B18" i="3" s="1"/>
  <c r="B20" i="3" s="1"/>
  <c r="B13" i="2" l="1"/>
  <c r="B12" i="2"/>
  <c r="B11" i="2"/>
  <c r="B9" i="2"/>
  <c r="B8" i="2"/>
  <c r="B14" i="2" s="1"/>
  <c r="B5" i="2"/>
  <c r="B16" i="2" s="1"/>
  <c r="B10" i="1" l="1"/>
  <c r="B12" i="1" s="1"/>
  <c r="B14" i="1" s="1"/>
  <c r="B6" i="1"/>
</calcChain>
</file>

<file path=xl/sharedStrings.xml><?xml version="1.0" encoding="utf-8"?>
<sst xmlns="http://schemas.openxmlformats.org/spreadsheetml/2006/main" count="714" uniqueCount="302">
  <si>
    <t>Bellas Garn &amp; Tyg</t>
  </si>
  <si>
    <t>Inventerade lagervärde</t>
  </si>
  <si>
    <t>Genomsnittslager (kronor)</t>
  </si>
  <si>
    <t>Årsomsättning</t>
  </si>
  <si>
    <t>Marginal</t>
  </si>
  <si>
    <t>Varukostnad sålda varor (kronor)</t>
  </si>
  <si>
    <t>Omsättningshastighet (ggr/år)</t>
  </si>
  <si>
    <t>Genomsnittlig lagringstid (dagar)</t>
  </si>
  <si>
    <t>Håller affärsiden ?</t>
  </si>
  <si>
    <t>A</t>
  </si>
  <si>
    <t>Intäkter</t>
  </si>
  <si>
    <t>Försäljning</t>
  </si>
  <si>
    <t>Kostnader</t>
  </si>
  <si>
    <t>Material och kartonger</t>
  </si>
  <si>
    <t>El</t>
  </si>
  <si>
    <t>Lager blöjor ock kartonger</t>
  </si>
  <si>
    <t>Transport</t>
  </si>
  <si>
    <t>Värdeminskning</t>
  </si>
  <si>
    <t>Ränta</t>
  </si>
  <si>
    <t>Summa kostnader</t>
  </si>
  <si>
    <t>RESULTAT</t>
  </si>
  <si>
    <t>Budget för klädbutik</t>
  </si>
  <si>
    <t>Resultatbudget</t>
  </si>
  <si>
    <t>Varukostnad</t>
  </si>
  <si>
    <t>Löner</t>
  </si>
  <si>
    <t>Sociala avgifter</t>
  </si>
  <si>
    <t>Lokalkostnader</t>
  </si>
  <si>
    <t>Kontorskostnader</t>
  </si>
  <si>
    <t>Telefon, internet</t>
  </si>
  <si>
    <t>Reklam</t>
  </si>
  <si>
    <t>Avskrivningar</t>
  </si>
  <si>
    <t>Räntekostnad</t>
  </si>
  <si>
    <t>Resultat</t>
  </si>
  <si>
    <t>Budgetuppföljning för profilkläder</t>
  </si>
  <si>
    <t>Post</t>
  </si>
  <si>
    <t>Budget</t>
  </si>
  <si>
    <t>Utfall</t>
  </si>
  <si>
    <t>Avvikelse</t>
  </si>
  <si>
    <t>Varor</t>
  </si>
  <si>
    <t>Personalkostnader</t>
  </si>
  <si>
    <t>Övriga kostnader</t>
  </si>
  <si>
    <t>Budgetuppföljning för Elfart</t>
  </si>
  <si>
    <t>Räntekostnader</t>
  </si>
  <si>
    <t>Likviditetsbudget för Memorix</t>
  </si>
  <si>
    <t>Januari</t>
  </si>
  <si>
    <t>Februari</t>
  </si>
  <si>
    <t>Mars</t>
  </si>
  <si>
    <t>Inbetalningar</t>
  </si>
  <si>
    <t>Från kunder</t>
  </si>
  <si>
    <t>Utbetalningar</t>
  </si>
  <si>
    <t>Varor, frakt/spedition</t>
  </si>
  <si>
    <t>Resor</t>
  </si>
  <si>
    <t>Personal</t>
  </si>
  <si>
    <t>Lokal</t>
  </si>
  <si>
    <t>Ränta och amortering</t>
  </si>
  <si>
    <t>Summa utbetalningar</t>
  </si>
  <si>
    <t>Månadens över-/underkott</t>
  </si>
  <si>
    <t>Ingående behållning</t>
  </si>
  <si>
    <t>Utgående behållning</t>
  </si>
  <si>
    <t>Likviditetsbudget för kökstillbehör</t>
  </si>
  <si>
    <t>Kontantförsäljning</t>
  </si>
  <si>
    <t>Kontantinköp</t>
  </si>
  <si>
    <t>Kreditinköp</t>
  </si>
  <si>
    <t>Nettolön efter skatteavdrag</t>
  </si>
  <si>
    <t>Personalskatt, arbetsgivaravg</t>
  </si>
  <si>
    <t>Hyra</t>
  </si>
  <si>
    <t>Amortering</t>
  </si>
  <si>
    <t>El, tele</t>
  </si>
  <si>
    <t>Diverse</t>
  </si>
  <si>
    <t>Månadens över-/underskott</t>
  </si>
  <si>
    <t>Likviditetsbudget för Detox</t>
  </si>
  <si>
    <t xml:space="preserve"> </t>
  </si>
  <si>
    <t>April</t>
  </si>
  <si>
    <t>Maj</t>
  </si>
  <si>
    <t>Juni</t>
  </si>
  <si>
    <t>Varuinköp kontant</t>
  </si>
  <si>
    <t>Varuinköp kredit</t>
  </si>
  <si>
    <t>Nettolön</t>
  </si>
  <si>
    <t>Skatt och arbetgivaravgifter</t>
  </si>
  <si>
    <t>El och tele</t>
  </si>
  <si>
    <t>Diverse utgifter</t>
  </si>
  <si>
    <t>Månadens över-/underskot</t>
  </si>
  <si>
    <t>Restaurangen på landet</t>
  </si>
  <si>
    <t>D</t>
  </si>
  <si>
    <t>Restaurang</t>
  </si>
  <si>
    <t>Hotell</t>
  </si>
  <si>
    <t>Summa intäkter</t>
  </si>
  <si>
    <t>Råvaror</t>
  </si>
  <si>
    <t xml:space="preserve">Frukost </t>
  </si>
  <si>
    <t>El, vatten, sophämtning</t>
  </si>
  <si>
    <t>Tvätt</t>
  </si>
  <si>
    <t>Marknadsföring</t>
  </si>
  <si>
    <t>Tele, internet</t>
  </si>
  <si>
    <t>Värdeminskning byggnader</t>
  </si>
  <si>
    <t>Värdeminskning inventarier</t>
  </si>
  <si>
    <t>Likviditetsbudget</t>
  </si>
  <si>
    <t>E</t>
  </si>
  <si>
    <t>Erhållet lån</t>
  </si>
  <si>
    <t>Summa inbetalningar</t>
  </si>
  <si>
    <t>Frukost</t>
  </si>
  <si>
    <t>Personalskatt o arbetsgivaravgift</t>
  </si>
  <si>
    <t>Byggnad, inventarier</t>
  </si>
  <si>
    <t xml:space="preserve">Amortering </t>
  </si>
  <si>
    <t>Privatuttag</t>
  </si>
  <si>
    <t>Resultatet för Lookie</t>
  </si>
  <si>
    <t>Webbkameror</t>
  </si>
  <si>
    <t>Drönare</t>
  </si>
  <si>
    <t>Totalt</t>
  </si>
  <si>
    <t>Särintäkter</t>
  </si>
  <si>
    <t>Särkostnader</t>
  </si>
  <si>
    <t>Personalkostnad</t>
  </si>
  <si>
    <t>Lokalkostnad</t>
  </si>
  <si>
    <t>Summa särkostnader</t>
  </si>
  <si>
    <t>Täckningsbidrag</t>
  </si>
  <si>
    <t>Samkostnader</t>
  </si>
  <si>
    <t>Green Family</t>
  </si>
  <si>
    <t>Trädgårdstillbehör</t>
  </si>
  <si>
    <t>Visningar</t>
  </si>
  <si>
    <t>Avskrivning</t>
  </si>
  <si>
    <t>Täckningsbidrag för Carolini</t>
  </si>
  <si>
    <t>Fish</t>
  </si>
  <si>
    <t>Vegetables</t>
  </si>
  <si>
    <t>Hur går det för Digital Center ?</t>
  </si>
  <si>
    <t>I</t>
  </si>
  <si>
    <t>Tv/Hem</t>
  </si>
  <si>
    <t>Data/Tele</t>
  </si>
  <si>
    <t>Försäljning (1)</t>
  </si>
  <si>
    <t>Rörliga särkostnader</t>
  </si>
  <si>
    <t>Varukostnader</t>
  </si>
  <si>
    <r>
      <t xml:space="preserve">Täckningsbidrag 1 </t>
    </r>
    <r>
      <rPr>
        <sz val="11"/>
        <color theme="1"/>
        <rFont val="Calibri"/>
        <family val="2"/>
        <scheme val="minor"/>
      </rPr>
      <t>(2)</t>
    </r>
  </si>
  <si>
    <t>Fasta särkostnader</t>
  </si>
  <si>
    <t>Lokaler</t>
  </si>
  <si>
    <t>Diverse kostnader</t>
  </si>
  <si>
    <t>Summa</t>
  </si>
  <si>
    <t>Täckningsbidrag 2</t>
  </si>
  <si>
    <t>Fasta samkostnader</t>
  </si>
  <si>
    <t>Avskrivningar (3)</t>
  </si>
  <si>
    <t>Räntekostnader (4)</t>
  </si>
  <si>
    <t>Loidas café</t>
  </si>
  <si>
    <t>Elkostnad</t>
  </si>
  <si>
    <t>C</t>
  </si>
  <si>
    <t>Elkostad</t>
  </si>
  <si>
    <t>Lönsam import</t>
  </si>
  <si>
    <t>Bidrag till cirkus</t>
  </si>
  <si>
    <t>Biljetter</t>
  </si>
  <si>
    <t>Försäljning godis mm</t>
  </si>
  <si>
    <t>Varuinköp godis mm</t>
  </si>
  <si>
    <t>Felix Alpina</t>
  </si>
  <si>
    <t>RESULTATRÄKNING</t>
  </si>
  <si>
    <t>Nettoomsättning</t>
  </si>
  <si>
    <t>Förändring av varulager</t>
  </si>
  <si>
    <t>Råvaror och förnödenheter</t>
  </si>
  <si>
    <t>Övriga externa kostnader (1)</t>
  </si>
  <si>
    <t>Personalkostnader (2)</t>
  </si>
  <si>
    <t>Avskrivning enligt plan</t>
  </si>
  <si>
    <t>Rörelseresultat</t>
  </si>
  <si>
    <t>Ränteintäkter</t>
  </si>
  <si>
    <t>Årets resultat</t>
  </si>
  <si>
    <t>BALANSRÄKNING</t>
  </si>
  <si>
    <t>TILLGÅNGAR</t>
  </si>
  <si>
    <t>Anläggningstillgångar</t>
  </si>
  <si>
    <t>Materiella anläggningstillgångar</t>
  </si>
  <si>
    <t>Maskiner och inventarier (3)</t>
  </si>
  <si>
    <t>Summa anläggningstillgångar</t>
  </si>
  <si>
    <t>Omsättningstillgångar</t>
  </si>
  <si>
    <t>Varulager</t>
  </si>
  <si>
    <t>Fordringar</t>
  </si>
  <si>
    <t>Kundfordringar</t>
  </si>
  <si>
    <t>Förutbetalda kostnader och upplupna intäkter</t>
  </si>
  <si>
    <t>Kortfristiga placeringar</t>
  </si>
  <si>
    <t>Kassa och bank</t>
  </si>
  <si>
    <t>Summa omsättningstillgångar</t>
  </si>
  <si>
    <t>SUMMA TILLGÅNGAR</t>
  </si>
  <si>
    <t>EGET KAPITAL OCH SKULDER</t>
  </si>
  <si>
    <t>Eget kapital</t>
  </si>
  <si>
    <t>Eget kapital vid årets början</t>
  </si>
  <si>
    <t>Årets uttag</t>
  </si>
  <si>
    <t>Eget kapital vid årets slut</t>
  </si>
  <si>
    <t>Skulder</t>
  </si>
  <si>
    <t>Skulder till kreditinstitut</t>
  </si>
  <si>
    <t>Leverantörsskulder</t>
  </si>
  <si>
    <t>Skatteskulder</t>
  </si>
  <si>
    <t>Summa skulder</t>
  </si>
  <si>
    <t>SUMMA EGET KAPITAL OCH SKULDER</t>
  </si>
  <si>
    <t xml:space="preserve">Materiallager </t>
  </si>
  <si>
    <t>Skatteskulder(4)</t>
  </si>
  <si>
    <t>Upplupna kostnader (5)</t>
  </si>
  <si>
    <t>Nicks Poolservice</t>
  </si>
  <si>
    <t>Förändring av materiallager</t>
  </si>
  <si>
    <t>A.</t>
  </si>
  <si>
    <t>Balansräkning (€)</t>
  </si>
  <si>
    <t>Resultaträkning (€)</t>
  </si>
  <si>
    <t>Tillgångar</t>
  </si>
  <si>
    <t>Kostnad för sålda varor</t>
  </si>
  <si>
    <t>Inventarier</t>
  </si>
  <si>
    <t>Bruttovinst</t>
  </si>
  <si>
    <t>Övriga externa kostnader</t>
  </si>
  <si>
    <t>Avskrivningar enligt plan</t>
  </si>
  <si>
    <t>Summa tillgångar</t>
  </si>
  <si>
    <t>Resultat efter finansiella poster</t>
  </si>
  <si>
    <t>Skattekostnad</t>
  </si>
  <si>
    <t>Eget kapital, avsättningar och skulder</t>
  </si>
  <si>
    <t xml:space="preserve">Eget kapital </t>
  </si>
  <si>
    <t>Långfristiga skulder</t>
  </si>
  <si>
    <t>Banklån</t>
  </si>
  <si>
    <t>Kortfristiga skulder</t>
  </si>
  <si>
    <t>Övriga skulder</t>
  </si>
  <si>
    <t>Summa eget kapital och skulder</t>
  </si>
  <si>
    <t>Brown &amp; Partners</t>
  </si>
  <si>
    <t>Omsättning (mkr)</t>
  </si>
  <si>
    <t>Omsättningstillväxt (%)</t>
  </si>
  <si>
    <t>Resultat efter finansiella poster (mkr)</t>
  </si>
  <si>
    <t>Vinstmarginal (%)</t>
  </si>
  <si>
    <t>Summa tillgångar (mkr)</t>
  </si>
  <si>
    <t>Summa eget kapital (mkr)</t>
  </si>
  <si>
    <t>Soliditet (%)</t>
  </si>
  <si>
    <t>Kassalikviditet (%)</t>
  </si>
  <si>
    <t>Räntabilitet på totalt kapital (%)</t>
  </si>
  <si>
    <t>Genomsnittligt antal anställda</t>
  </si>
  <si>
    <t>Beräkna nyckeltal</t>
  </si>
  <si>
    <t>Tillgångarnas omsättningshastighet (ggr)</t>
  </si>
  <si>
    <t xml:space="preserve">Detta år </t>
  </si>
  <si>
    <t>Föregående år</t>
  </si>
  <si>
    <t>Detta år</t>
  </si>
  <si>
    <t>Fastigheter, maskiner och inventarier</t>
  </si>
  <si>
    <t>Likvida medel</t>
  </si>
  <si>
    <t>Förskott från kunder</t>
  </si>
  <si>
    <t>Övriga kortfristiga skulder</t>
  </si>
  <si>
    <t>Summa kortfristiga skulder</t>
  </si>
  <si>
    <t>20X2</t>
  </si>
  <si>
    <t>20X1</t>
  </si>
  <si>
    <t>20X0</t>
  </si>
  <si>
    <t>Nettoomsättning (tkr)</t>
  </si>
  <si>
    <t>Rörelseresultat (tkr)</t>
  </si>
  <si>
    <t>Resultat efter finansiella poster (tkr)</t>
  </si>
  <si>
    <t>Tillgångar (tkr)</t>
  </si>
  <si>
    <t>NYCKELTAL</t>
  </si>
  <si>
    <t>Omsättning per anställd (tkr)</t>
  </si>
  <si>
    <t>Personalkostnader per anställd (tkr)</t>
  </si>
  <si>
    <t>Räntabilitet på totalt kapital</t>
  </si>
  <si>
    <t>Antal anställda</t>
  </si>
  <si>
    <t>Arbetskraftskostnad i % av omsättningen</t>
  </si>
  <si>
    <t>Bostadsrättsföreningen Duveds fjällby</t>
  </si>
  <si>
    <t>KONCERNEN</t>
  </si>
  <si>
    <t>X1-09-01−X2-08-31</t>
  </si>
  <si>
    <t>X0-09-01−X1-08-31</t>
  </si>
  <si>
    <t>Övriga rörelseintäkter</t>
  </si>
  <si>
    <t>Rörelsens kostnader</t>
  </si>
  <si>
    <t>Beräkning nyckeltal</t>
  </si>
  <si>
    <t>X1/X2</t>
  </si>
  <si>
    <t>X0/X1</t>
  </si>
  <si>
    <t>Handelsvaror</t>
  </si>
  <si>
    <t>Räntabilitet (%)</t>
  </si>
  <si>
    <t>Avskrivning av materiella anläggningstillgångar/fond för yttre underhåll</t>
  </si>
  <si>
    <t>Resultat från finansiella investeringar</t>
  </si>
  <si>
    <t>Ränteintäkter och liknande</t>
  </si>
  <si>
    <t>Extra avsättning till fond för yttre underhåll</t>
  </si>
  <si>
    <t>Resultat före skatt</t>
  </si>
  <si>
    <t>Skatt på årets resultat</t>
  </si>
  <si>
    <t>Fastighetsskatt</t>
  </si>
  <si>
    <t>X2-08-31</t>
  </si>
  <si>
    <t>X1-08-31</t>
  </si>
  <si>
    <t>Byggnader och mark</t>
  </si>
  <si>
    <t>Balancerade lokalkostnader</t>
  </si>
  <si>
    <t>Finansiella anläggningstillgångar</t>
  </si>
  <si>
    <t>Aktier i dotterföretag</t>
  </si>
  <si>
    <t>Fordringar hos koncernföretag</t>
  </si>
  <si>
    <t>Andra långfristiga värdepappersinnehav</t>
  </si>
  <si>
    <t>Andra långfristiga fordringar</t>
  </si>
  <si>
    <t>Kortfristiga fordringar</t>
  </si>
  <si>
    <t>Övriga fordringar</t>
  </si>
  <si>
    <t>Bundet eget kapital</t>
  </si>
  <si>
    <t>Medlemsinsatser</t>
  </si>
  <si>
    <t>Fria reserver/Fritt eget kapital</t>
  </si>
  <si>
    <t>Dispositionsfond</t>
  </si>
  <si>
    <t>Balanserad förlust</t>
  </si>
  <si>
    <t>Årets vinst</t>
  </si>
  <si>
    <t>Summa eget kapital</t>
  </si>
  <si>
    <t>Reserver</t>
  </si>
  <si>
    <t>Fond för yttre underhåll</t>
  </si>
  <si>
    <t>Summa reserver</t>
  </si>
  <si>
    <t>Checkräkningskredit</t>
  </si>
  <si>
    <t>Skulder koncernföretag</t>
  </si>
  <si>
    <t>Summa långfristiga skulder</t>
  </si>
  <si>
    <t>Upplupna kostnader och förutbetalda intäkter</t>
  </si>
  <si>
    <t>Skinngrossisten</t>
  </si>
  <si>
    <t xml:space="preserve">Balansräkning </t>
  </si>
  <si>
    <t>Resultaträkning</t>
  </si>
  <si>
    <t>Förändring av handelsvaror</t>
  </si>
  <si>
    <t>Maskiner och inventarier</t>
  </si>
  <si>
    <t>Vid årets början</t>
  </si>
  <si>
    <t>Uttag</t>
  </si>
  <si>
    <t>Upplupna skulder</t>
  </si>
  <si>
    <t>B</t>
  </si>
  <si>
    <t>Arbetskraftskostnad i procent av omsättningen (%)</t>
  </si>
  <si>
    <t>Analys av ekonomin Precision AB</t>
  </si>
  <si>
    <t>Analys av Tivoli - Stora Tivolit</t>
  </si>
  <si>
    <t>Ergo Aktiv</t>
  </si>
  <si>
    <t>Materiallager</t>
  </si>
  <si>
    <t>Arbetskraftskotnad i procent av omsättningen (%)</t>
  </si>
  <si>
    <t>C.</t>
  </si>
  <si>
    <t>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</si>
</sst>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-;\-* #,##0.00\ _k_r_-;_-* &quot;-&quot;??\ _k_r_-;_-@_-"/>
    <numFmt numFmtId="164" formatCode="0.0"/>
    <numFmt numFmtId="165" formatCode="#,##0.0"/>
    <numFmt numFmtId="166" formatCode="_-* #,##0\ _k_r_-;\-* #,##0\ _k_r_-;_-* &quot;-&quot;??\ _k_r_-;_-@_-"/>
    <numFmt numFmtId="167" formatCode="0.0%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9"/>
      <name val="Helvetica"/>
    </font>
    <font>
      <sz val="9"/>
      <name val="Helvetica"/>
    </font>
    <font>
      <b/>
      <sz val="9"/>
      <color rgb="FFFF0000"/>
      <name val="Helvetica"/>
    </font>
    <font>
      <sz val="12"/>
      <color theme="1"/>
      <name val="Calibri"/>
      <family val="2"/>
      <scheme val="minor"/>
    </font>
    <font>
      <sz val="12"/>
      <color rgb="FFFF00FF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i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1"/>
      <name val="Calibri"/>
      <family val="2"/>
    </font>
    <font>
      <b/>
      <sz val="11"/>
      <name val="Helvetica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43" fontId="20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/>
    <xf numFmtId="16" fontId="2" fillId="0" borderId="0" xfId="0" applyNumberFormat="1" applyFont="1"/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/>
    <xf numFmtId="9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4" fillId="0" borderId="0" xfId="0" applyFont="1"/>
    <xf numFmtId="3" fontId="5" fillId="0" borderId="1" xfId="0" applyNumberFormat="1" applyFont="1" applyBorder="1"/>
    <xf numFmtId="3" fontId="5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right"/>
    </xf>
    <xf numFmtId="3" fontId="6" fillId="0" borderId="0" xfId="0" applyNumberFormat="1" applyFont="1"/>
    <xf numFmtId="3" fontId="7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quotePrefix="1" applyFont="1"/>
    <xf numFmtId="0" fontId="0" fillId="0" borderId="0" xfId="0" applyAlignment="1">
      <alignment horizontal="center"/>
    </xf>
    <xf numFmtId="0" fontId="2" fillId="0" borderId="0" xfId="0" applyFont="1"/>
    <xf numFmtId="3" fontId="9" fillId="0" borderId="1" xfId="0" applyNumberFormat="1" applyFont="1" applyBorder="1"/>
    <xf numFmtId="0" fontId="0" fillId="0" borderId="0" xfId="0" applyBorder="1"/>
    <xf numFmtId="0" fontId="2" fillId="0" borderId="0" xfId="0" applyFont="1" applyBorder="1"/>
    <xf numFmtId="0" fontId="10" fillId="0" borderId="0" xfId="0" applyFon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11" fillId="0" borderId="0" xfId="0" applyFont="1"/>
    <xf numFmtId="0" fontId="2" fillId="0" borderId="0" xfId="0" applyFont="1" applyBorder="1" applyAlignment="1">
      <alignment horizontal="right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3" fontId="13" fillId="0" borderId="0" xfId="0" applyNumberFormat="1" applyFont="1" applyBorder="1" applyAlignment="1">
      <alignment horizontal="right" wrapText="1"/>
    </xf>
    <xf numFmtId="3" fontId="0" fillId="0" borderId="1" xfId="0" applyNumberFormat="1" applyFont="1" applyBorder="1"/>
    <xf numFmtId="3" fontId="0" fillId="0" borderId="0" xfId="0" applyNumberFormat="1" applyFont="1"/>
    <xf numFmtId="3" fontId="4" fillId="0" borderId="0" xfId="0" applyNumberFormat="1" applyFont="1"/>
    <xf numFmtId="3" fontId="16" fillId="0" borderId="0" xfId="2" applyNumberFormat="1" applyFont="1"/>
    <xf numFmtId="0" fontId="15" fillId="0" borderId="0" xfId="2"/>
    <xf numFmtId="3" fontId="17" fillId="0" borderId="0" xfId="2" applyNumberFormat="1" applyFont="1"/>
    <xf numFmtId="3" fontId="17" fillId="0" borderId="1" xfId="2" applyNumberFormat="1" applyFont="1" applyBorder="1"/>
    <xf numFmtId="3" fontId="17" fillId="0" borderId="0" xfId="2" applyNumberFormat="1" applyFont="1" applyBorder="1"/>
    <xf numFmtId="3" fontId="18" fillId="0" borderId="0" xfId="2" applyNumberFormat="1" applyFont="1"/>
    <xf numFmtId="3" fontId="19" fillId="0" borderId="0" xfId="2" applyNumberFormat="1" applyFont="1"/>
    <xf numFmtId="0" fontId="4" fillId="0" borderId="0" xfId="0" applyFont="1" applyBorder="1"/>
    <xf numFmtId="3" fontId="0" fillId="0" borderId="0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0" fontId="22" fillId="3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2" fillId="0" borderId="0" xfId="1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166" fontId="22" fillId="0" borderId="4" xfId="1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166" fontId="22" fillId="0" borderId="1" xfId="1" applyNumberFormat="1" applyFont="1" applyBorder="1" applyAlignment="1">
      <alignment horizontal="right" vertical="center" wrapText="1"/>
    </xf>
    <xf numFmtId="3" fontId="22" fillId="0" borderId="1" xfId="1" applyNumberFormat="1" applyFont="1" applyBorder="1" applyAlignment="1">
      <alignment horizontal="right" vertical="center" wrapText="1"/>
    </xf>
    <xf numFmtId="166" fontId="22" fillId="0" borderId="0" xfId="1" applyNumberFormat="1" applyFont="1" applyBorder="1" applyAlignment="1">
      <alignment horizontal="right" vertical="center" wrapText="1"/>
    </xf>
    <xf numFmtId="3" fontId="22" fillId="0" borderId="1" xfId="1" applyNumberFormat="1" applyFont="1" applyBorder="1" applyAlignment="1">
      <alignment horizontal="right" wrapText="1"/>
    </xf>
    <xf numFmtId="166" fontId="22" fillId="0" borderId="1" xfId="1" applyNumberFormat="1" applyFont="1" applyBorder="1" applyAlignment="1">
      <alignment horizontal="right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165" fontId="24" fillId="0" borderId="0" xfId="0" applyNumberFormat="1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3" fontId="24" fillId="0" borderId="0" xfId="0" applyNumberFormat="1" applyFont="1" applyBorder="1" applyAlignment="1">
      <alignment vertical="center" wrapText="1"/>
    </xf>
    <xf numFmtId="0" fontId="24" fillId="0" borderId="0" xfId="0" applyFont="1" applyBorder="1"/>
    <xf numFmtId="3" fontId="3" fillId="0" borderId="0" xfId="0" applyNumberFormat="1" applyFont="1" applyAlignment="1"/>
    <xf numFmtId="3" fontId="0" fillId="0" borderId="0" xfId="0" applyNumberFormat="1" applyAlignment="1">
      <alignment wrapText="1"/>
    </xf>
    <xf numFmtId="3" fontId="4" fillId="0" borderId="0" xfId="2" applyNumberFormat="1" applyFont="1" applyBorder="1" applyAlignment="1">
      <alignment wrapText="1"/>
    </xf>
    <xf numFmtId="3" fontId="15" fillId="0" borderId="0" xfId="2" applyNumberFormat="1" applyAlignment="1">
      <alignment wrapText="1"/>
    </xf>
    <xf numFmtId="3" fontId="21" fillId="2" borderId="1" xfId="2" applyNumberFormat="1" applyFont="1" applyFill="1" applyBorder="1" applyAlignment="1">
      <alignment vertical="center"/>
    </xf>
    <xf numFmtId="3" fontId="21" fillId="2" borderId="1" xfId="2" applyNumberFormat="1" applyFont="1" applyFill="1" applyBorder="1" applyAlignment="1">
      <alignment vertical="center" wrapText="1"/>
    </xf>
    <xf numFmtId="3" fontId="22" fillId="3" borderId="0" xfId="2" applyNumberFormat="1" applyFont="1" applyFill="1" applyBorder="1" applyAlignment="1">
      <alignment vertical="center" wrapText="1"/>
    </xf>
    <xf numFmtId="3" fontId="23" fillId="0" borderId="0" xfId="2" applyNumberFormat="1" applyFont="1" applyBorder="1" applyAlignment="1">
      <alignment vertical="center" wrapText="1"/>
    </xf>
    <xf numFmtId="3" fontId="22" fillId="0" borderId="0" xfId="3" applyNumberFormat="1" applyFont="1" applyBorder="1" applyAlignment="1">
      <alignment horizontal="right" vertical="center" wrapText="1"/>
    </xf>
    <xf numFmtId="3" fontId="22" fillId="0" borderId="0" xfId="2" applyNumberFormat="1" applyFont="1" applyBorder="1" applyAlignment="1">
      <alignment vertical="center" wrapText="1"/>
    </xf>
    <xf numFmtId="3" fontId="22" fillId="0" borderId="4" xfId="3" applyNumberFormat="1" applyFont="1" applyBorder="1" applyAlignment="1">
      <alignment horizontal="right" vertical="center" wrapText="1"/>
    </xf>
    <xf numFmtId="3" fontId="22" fillId="0" borderId="1" xfId="3" applyNumberFormat="1" applyFont="1" applyBorder="1" applyAlignment="1">
      <alignment horizontal="right" vertical="center" wrapText="1"/>
    </xf>
    <xf numFmtId="3" fontId="21" fillId="0" borderId="0" xfId="2" applyNumberFormat="1" applyFont="1" applyBorder="1" applyAlignment="1">
      <alignment vertical="center" wrapText="1"/>
    </xf>
    <xf numFmtId="3" fontId="22" fillId="0" borderId="1" xfId="3" applyNumberFormat="1" applyFont="1" applyBorder="1" applyAlignment="1">
      <alignment horizontal="right" wrapText="1"/>
    </xf>
    <xf numFmtId="3" fontId="22" fillId="0" borderId="0" xfId="2" applyNumberFormat="1" applyFont="1" applyBorder="1" applyAlignment="1">
      <alignment wrapText="1"/>
    </xf>
    <xf numFmtId="3" fontId="21" fillId="0" borderId="0" xfId="2" applyNumberFormat="1" applyFont="1" applyBorder="1" applyAlignment="1">
      <alignment wrapText="1"/>
    </xf>
    <xf numFmtId="3" fontId="22" fillId="0" borderId="0" xfId="3" applyNumberFormat="1" applyFont="1" applyBorder="1" applyAlignment="1">
      <alignment horizontal="right" wrapText="1"/>
    </xf>
    <xf numFmtId="3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right"/>
    </xf>
    <xf numFmtId="3" fontId="2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65" fontId="24" fillId="2" borderId="0" xfId="0" applyNumberFormat="1" applyFont="1" applyFill="1" applyBorder="1"/>
    <xf numFmtId="4" fontId="24" fillId="2" borderId="0" xfId="0" applyNumberFormat="1" applyFont="1" applyFill="1" applyBorder="1"/>
    <xf numFmtId="165" fontId="24" fillId="0" borderId="0" xfId="0" applyNumberFormat="1" applyFont="1" applyFill="1"/>
    <xf numFmtId="0" fontId="0" fillId="0" borderId="0" xfId="0" applyFill="1"/>
    <xf numFmtId="0" fontId="24" fillId="0" borderId="0" xfId="0" applyFont="1" applyFill="1"/>
    <xf numFmtId="3" fontId="16" fillId="0" borderId="0" xfId="2" applyNumberFormat="1" applyFont="1" applyBorder="1"/>
    <xf numFmtId="0" fontId="1" fillId="0" borderId="0" xfId="0" applyFont="1" applyBorder="1"/>
    <xf numFmtId="0" fontId="2" fillId="2" borderId="1" xfId="0" applyFont="1" applyFill="1" applyBorder="1"/>
    <xf numFmtId="3" fontId="13" fillId="0" borderId="0" xfId="2" applyNumberFormat="1" applyFont="1" applyBorder="1"/>
    <xf numFmtId="3" fontId="13" fillId="0" borderId="1" xfId="2" applyNumberFormat="1" applyFont="1" applyBorder="1"/>
    <xf numFmtId="3" fontId="1" fillId="0" borderId="1" xfId="0" applyNumberFormat="1" applyFont="1" applyBorder="1"/>
    <xf numFmtId="0" fontId="13" fillId="0" borderId="0" xfId="2" applyFont="1" applyBorder="1"/>
    <xf numFmtId="3" fontId="12" fillId="0" borderId="1" xfId="2" applyNumberFormat="1" applyFont="1" applyBorder="1"/>
    <xf numFmtId="3" fontId="2" fillId="0" borderId="1" xfId="0" applyNumberFormat="1" applyFont="1" applyBorder="1"/>
    <xf numFmtId="3" fontId="26" fillId="0" borderId="0" xfId="2" applyNumberFormat="1" applyFont="1" applyBorder="1"/>
    <xf numFmtId="3" fontId="13" fillId="0" borderId="0" xfId="2" applyNumberFormat="1" applyFont="1" applyBorder="1" applyAlignment="1">
      <alignment vertical="top" wrapText="1"/>
    </xf>
    <xf numFmtId="3" fontId="26" fillId="0" borderId="1" xfId="2" applyNumberFormat="1" applyFont="1" applyBorder="1"/>
    <xf numFmtId="3" fontId="27" fillId="0" borderId="1" xfId="0" applyNumberFormat="1" applyFont="1" applyBorder="1"/>
    <xf numFmtId="3" fontId="12" fillId="0" borderId="0" xfId="2" applyNumberFormat="1" applyFont="1" applyBorder="1"/>
    <xf numFmtId="0" fontId="1" fillId="0" borderId="1" xfId="0" applyFont="1" applyBorder="1"/>
    <xf numFmtId="0" fontId="27" fillId="0" borderId="0" xfId="0" applyFont="1" applyBorder="1"/>
    <xf numFmtId="0" fontId="13" fillId="0" borderId="1" xfId="2" applyFont="1" applyBorder="1"/>
    <xf numFmtId="3" fontId="2" fillId="2" borderId="1" xfId="0" applyNumberFormat="1" applyFont="1" applyFill="1" applyBorder="1"/>
    <xf numFmtId="3" fontId="28" fillId="0" borderId="0" xfId="2" applyNumberFormat="1" applyFont="1" applyBorder="1"/>
    <xf numFmtId="3" fontId="26" fillId="0" borderId="5" xfId="2" applyNumberFormat="1" applyFont="1" applyBorder="1"/>
    <xf numFmtId="3" fontId="27" fillId="0" borderId="5" xfId="0" applyNumberFormat="1" applyFont="1" applyBorder="1"/>
    <xf numFmtId="0" fontId="29" fillId="0" borderId="0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3" fontId="13" fillId="0" borderId="4" xfId="2" applyNumberFormat="1" applyFont="1" applyBorder="1"/>
    <xf numFmtId="3" fontId="1" fillId="0" borderId="4" xfId="0" applyNumberFormat="1" applyFont="1" applyBorder="1"/>
    <xf numFmtId="3" fontId="26" fillId="0" borderId="4" xfId="2" applyNumberFormat="1" applyFont="1" applyBorder="1"/>
    <xf numFmtId="3" fontId="27" fillId="0" borderId="4" xfId="0" applyNumberFormat="1" applyFont="1" applyBorder="1"/>
    <xf numFmtId="3" fontId="12" fillId="0" borderId="4" xfId="2" applyNumberFormat="1" applyFont="1" applyBorder="1"/>
    <xf numFmtId="3" fontId="2" fillId="0" borderId="4" xfId="0" applyNumberFormat="1" applyFont="1" applyBorder="1"/>
    <xf numFmtId="0" fontId="0" fillId="0" borderId="0" xfId="0" applyFont="1" applyBorder="1"/>
    <xf numFmtId="3" fontId="12" fillId="0" borderId="0" xfId="2" applyNumberFormat="1" applyFont="1" applyFill="1" applyBorder="1"/>
    <xf numFmtId="0" fontId="3" fillId="0" borderId="0" xfId="0" applyFont="1" applyBorder="1"/>
    <xf numFmtId="3" fontId="0" fillId="0" borderId="0" xfId="3" applyNumberFormat="1" applyFont="1" applyBorder="1" applyAlignment="1">
      <alignment horizontal="right"/>
    </xf>
    <xf numFmtId="166" fontId="0" fillId="0" borderId="0" xfId="3" applyNumberFormat="1" applyFont="1" applyBorder="1" applyAlignment="1">
      <alignment horizontal="right"/>
    </xf>
    <xf numFmtId="165" fontId="0" fillId="0" borderId="0" xfId="0" applyNumberFormat="1" applyBorder="1"/>
    <xf numFmtId="166" fontId="22" fillId="0" borderId="0" xfId="3" applyNumberFormat="1" applyFont="1" applyBorder="1" applyAlignment="1">
      <alignment horizontal="right" vertical="center" wrapText="1"/>
    </xf>
    <xf numFmtId="0" fontId="18" fillId="2" borderId="0" xfId="0" applyFont="1" applyFill="1" applyBorder="1"/>
    <xf numFmtId="0" fontId="17" fillId="2" borderId="0" xfId="0" applyFont="1" applyFill="1" applyBorder="1"/>
    <xf numFmtId="166" fontId="0" fillId="0" borderId="0" xfId="0" applyNumberFormat="1" applyBorder="1"/>
    <xf numFmtId="165" fontId="24" fillId="2" borderId="0" xfId="0" applyNumberFormat="1" applyFont="1" applyFill="1" applyBorder="1" applyAlignment="1">
      <alignment horizontal="right"/>
    </xf>
    <xf numFmtId="0" fontId="21" fillId="0" borderId="0" xfId="0" applyFont="1" applyBorder="1" applyAlignment="1">
      <alignment wrapText="1"/>
    </xf>
    <xf numFmtId="166" fontId="22" fillId="0" borderId="0" xfId="3" applyNumberFormat="1" applyFont="1" applyBorder="1" applyAlignment="1">
      <alignment horizontal="right" wrapText="1"/>
    </xf>
    <xf numFmtId="0" fontId="17" fillId="0" borderId="0" xfId="0" applyFont="1" applyFill="1" applyBorder="1"/>
    <xf numFmtId="165" fontId="24" fillId="0" borderId="0" xfId="0" applyNumberFormat="1" applyFont="1" applyFill="1" applyBorder="1"/>
    <xf numFmtId="0" fontId="0" fillId="0" borderId="0" xfId="0" applyFill="1" applyBorder="1"/>
    <xf numFmtId="0" fontId="21" fillId="2" borderId="0" xfId="0" applyFont="1" applyFill="1" applyBorder="1" applyAlignment="1">
      <alignment vertical="center" wrapText="1"/>
    </xf>
    <xf numFmtId="3" fontId="29" fillId="0" borderId="1" xfId="0" applyNumberFormat="1" applyFont="1" applyBorder="1"/>
    <xf numFmtId="3" fontId="29" fillId="0" borderId="0" xfId="0" applyNumberFormat="1" applyFont="1"/>
    <xf numFmtId="3" fontId="29" fillId="0" borderId="1" xfId="0" quotePrefix="1" applyNumberFormat="1" applyFont="1" applyBorder="1" applyAlignment="1">
      <alignment horizontal="right"/>
    </xf>
    <xf numFmtId="3" fontId="31" fillId="0" borderId="1" xfId="0" applyNumberFormat="1" applyFont="1" applyBorder="1"/>
    <xf numFmtId="3" fontId="29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3" fillId="0" borderId="0" xfId="0" applyFont="1" applyBorder="1" applyAlignment="1">
      <alignment vertical="center" wrapText="1"/>
    </xf>
    <xf numFmtId="3" fontId="9" fillId="0" borderId="0" xfId="0" applyNumberFormat="1" applyFont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Fill="1" applyBorder="1"/>
    <xf numFmtId="3" fontId="33" fillId="0" borderId="1" xfId="0" applyNumberFormat="1" applyFont="1" applyFill="1" applyBorder="1"/>
    <xf numFmtId="3" fontId="33" fillId="0" borderId="0" xfId="0" applyNumberFormat="1" applyFont="1" applyFill="1" applyBorder="1"/>
    <xf numFmtId="3" fontId="35" fillId="0" borderId="1" xfId="0" applyNumberFormat="1" applyFont="1" applyFill="1" applyBorder="1"/>
    <xf numFmtId="167" fontId="22" fillId="2" borderId="1" xfId="1" applyNumberFormat="1" applyFont="1" applyFill="1" applyBorder="1" applyAlignment="1">
      <alignment horizontal="right" vertical="center" wrapText="1"/>
    </xf>
    <xf numFmtId="2" fontId="22" fillId="2" borderId="1" xfId="1" applyNumberFormat="1" applyFont="1" applyFill="1" applyBorder="1" applyAlignment="1">
      <alignment horizontal="right" vertical="center" wrapText="1"/>
    </xf>
    <xf numFmtId="166" fontId="22" fillId="2" borderId="0" xfId="1" applyNumberFormat="1" applyFont="1" applyFill="1" applyBorder="1" applyAlignment="1">
      <alignment horizontal="right" vertical="center" wrapText="1"/>
    </xf>
    <xf numFmtId="0" fontId="36" fillId="4" borderId="1" xfId="0" applyFont="1" applyFill="1" applyBorder="1" applyAlignment="1">
      <alignment horizontal="left"/>
    </xf>
    <xf numFmtId="165" fontId="32" fillId="4" borderId="1" xfId="0" applyNumberFormat="1" applyFont="1" applyFill="1" applyBorder="1" applyAlignment="1">
      <alignment horizontal="left"/>
    </xf>
    <xf numFmtId="165" fontId="32" fillId="4" borderId="1" xfId="0" applyNumberFormat="1" applyFont="1" applyFill="1" applyBorder="1" applyAlignment="1">
      <alignment horizontal="left" wrapText="1"/>
    </xf>
    <xf numFmtId="0" fontId="10" fillId="4" borderId="1" xfId="0" applyFont="1" applyFill="1" applyBorder="1"/>
    <xf numFmtId="4" fontId="33" fillId="4" borderId="1" xfId="0" applyNumberFormat="1" applyFont="1" applyFill="1" applyBorder="1"/>
    <xf numFmtId="4" fontId="33" fillId="4" borderId="1" xfId="0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67" fontId="33" fillId="4" borderId="1" xfId="0" applyNumberFormat="1" applyFont="1" applyFill="1" applyBorder="1"/>
    <xf numFmtId="167" fontId="33" fillId="4" borderId="1" xfId="0" applyNumberFormat="1" applyFont="1" applyFill="1" applyBorder="1" applyAlignment="1">
      <alignment wrapText="1"/>
    </xf>
    <xf numFmtId="167" fontId="33" fillId="4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24" fillId="2" borderId="1" xfId="0" applyFont="1" applyFill="1" applyBorder="1"/>
    <xf numFmtId="165" fontId="24" fillId="2" borderId="1" xfId="0" applyNumberFormat="1" applyFont="1" applyFill="1" applyBorder="1"/>
    <xf numFmtId="4" fontId="24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5" fontId="0" fillId="2" borderId="1" xfId="0" applyNumberFormat="1" applyFont="1" applyFill="1" applyBorder="1"/>
    <xf numFmtId="0" fontId="21" fillId="2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3" fillId="0" borderId="0" xfId="2" applyNumberFormat="1" applyFont="1" applyBorder="1" applyAlignment="1">
      <alignment vertical="center" wrapText="1"/>
    </xf>
    <xf numFmtId="0" fontId="16" fillId="2" borderId="1" xfId="2" applyFont="1" applyFill="1" applyBorder="1" applyAlignment="1">
      <alignment horizontal="center"/>
    </xf>
    <xf numFmtId="3" fontId="16" fillId="2" borderId="3" xfId="2" applyNumberFormat="1" applyFont="1" applyFill="1" applyBorder="1" applyAlignment="1">
      <alignment horizontal="center"/>
    </xf>
    <xf numFmtId="3" fontId="16" fillId="2" borderId="2" xfId="2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center" wrapText="1"/>
    </xf>
    <xf numFmtId="0" fontId="4" fillId="2" borderId="0" xfId="0" applyFont="1" applyFill="1"/>
    <xf numFmtId="0" fontId="24" fillId="2" borderId="0" xfId="0" applyFont="1" applyFill="1"/>
    <xf numFmtId="0" fontId="38" fillId="0" borderId="0" xfId="0" applyFont="1" applyFill="1" applyBorder="1"/>
    <xf numFmtId="0" fontId="39" fillId="0" borderId="0" xfId="0" applyFont="1" applyFill="1" applyBorder="1"/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3" fontId="40" fillId="0" borderId="0" xfId="2" applyNumberFormat="1" applyFont="1" applyBorder="1"/>
  </cellXfs>
  <cellStyles count="4">
    <cellStyle name="Normal" xfId="0" builtinId="0"/>
    <cellStyle name="Normal 2" xfId="2"/>
    <cellStyle name="Tusental" xfId="1" builtinId="3"/>
    <cellStyle name="Tusent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4" sqref="B14"/>
    </sheetView>
  </sheetViews>
  <sheetFormatPr defaultRowHeight="15"/>
  <cols>
    <col min="1" max="1" width="30.7109375" bestFit="1" customWidth="1"/>
  </cols>
  <sheetData>
    <row r="1" spans="1:6" ht="21">
      <c r="A1" s="1" t="s">
        <v>0</v>
      </c>
    </row>
    <row r="4" spans="1:6">
      <c r="B4" s="2">
        <v>42370</v>
      </c>
      <c r="C4" s="2">
        <v>42461</v>
      </c>
      <c r="D4" s="2">
        <v>42552</v>
      </c>
      <c r="E4" s="2">
        <v>42644</v>
      </c>
      <c r="F4" s="2">
        <v>42735</v>
      </c>
    </row>
    <row r="5" spans="1:6">
      <c r="A5" t="s">
        <v>1</v>
      </c>
      <c r="B5" s="3">
        <v>35480</v>
      </c>
      <c r="C5" s="4">
        <v>24930</v>
      </c>
      <c r="D5" s="3">
        <v>22280</v>
      </c>
      <c r="E5" s="3">
        <v>46310</v>
      </c>
      <c r="F5" s="3">
        <v>32160</v>
      </c>
    </row>
    <row r="6" spans="1:6">
      <c r="A6" t="s">
        <v>2</v>
      </c>
      <c r="B6" s="3">
        <f>(B5+C5+D5+E5+F5)/5</f>
        <v>32232</v>
      </c>
      <c r="C6" s="5"/>
      <c r="D6" s="5"/>
      <c r="E6" s="5"/>
      <c r="F6" s="5"/>
    </row>
    <row r="7" spans="1:6">
      <c r="B7" s="5"/>
      <c r="C7" s="5"/>
      <c r="D7" s="5"/>
      <c r="E7" s="5"/>
      <c r="F7" s="5"/>
    </row>
    <row r="8" spans="1:6">
      <c r="A8" t="s">
        <v>3</v>
      </c>
      <c r="B8" s="3">
        <v>445000</v>
      </c>
      <c r="C8" s="5"/>
      <c r="D8" s="5"/>
      <c r="E8" s="5"/>
      <c r="F8" s="5"/>
    </row>
    <row r="9" spans="1:6">
      <c r="A9" t="s">
        <v>4</v>
      </c>
      <c r="B9" s="6">
        <v>0.4</v>
      </c>
      <c r="C9" s="5"/>
      <c r="D9" s="5"/>
      <c r="E9" s="5"/>
      <c r="F9" s="5"/>
    </row>
    <row r="10" spans="1:6">
      <c r="A10" t="s">
        <v>5</v>
      </c>
      <c r="B10" s="3">
        <f>B8*(1-B9)</f>
        <v>267000</v>
      </c>
      <c r="C10" s="5"/>
      <c r="D10" s="5"/>
      <c r="E10" s="5"/>
      <c r="F10" s="5"/>
    </row>
    <row r="11" spans="1:6">
      <c r="B11" s="5"/>
      <c r="C11" s="5"/>
      <c r="D11" s="5"/>
      <c r="E11" s="5"/>
      <c r="F11" s="5"/>
    </row>
    <row r="12" spans="1:6">
      <c r="A12" t="s">
        <v>6</v>
      </c>
      <c r="B12" s="7">
        <f>B10/B6</f>
        <v>8.2836932241250931</v>
      </c>
      <c r="C12" s="5"/>
      <c r="D12" s="5"/>
      <c r="E12" s="5"/>
      <c r="F12" s="5"/>
    </row>
    <row r="13" spans="1:6">
      <c r="B13" s="5"/>
      <c r="C13" s="5"/>
      <c r="D13" s="5"/>
      <c r="E13" s="5"/>
      <c r="F13" s="5"/>
    </row>
    <row r="14" spans="1:6">
      <c r="A14" t="s">
        <v>7</v>
      </c>
      <c r="B14" s="8">
        <f>360/B12</f>
        <v>43.458876404494383</v>
      </c>
      <c r="C14" s="5"/>
      <c r="D14" s="5"/>
      <c r="E14" s="5"/>
      <c r="F14" s="5"/>
    </row>
    <row r="15" spans="1:6">
      <c r="B15" s="5"/>
      <c r="C15" s="5"/>
      <c r="D15" s="5"/>
      <c r="E15" s="5"/>
      <c r="F15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1" sqref="F11"/>
    </sheetView>
  </sheetViews>
  <sheetFormatPr defaultRowHeight="15"/>
  <cols>
    <col min="1" max="1" width="21.7109375" customWidth="1"/>
  </cols>
  <sheetData>
    <row r="1" spans="1:5" ht="21">
      <c r="A1" s="17" t="s">
        <v>104</v>
      </c>
    </row>
    <row r="2" spans="1:5" ht="15.75">
      <c r="A2" s="9" t="s">
        <v>9</v>
      </c>
    </row>
    <row r="3" spans="1:5" ht="21">
      <c r="A3" s="17"/>
    </row>
    <row r="4" spans="1:5" ht="15.75">
      <c r="B4" s="13" t="s">
        <v>105</v>
      </c>
      <c r="C4" s="13" t="s">
        <v>106</v>
      </c>
      <c r="D4" s="13" t="s">
        <v>107</v>
      </c>
    </row>
    <row r="5" spans="1:5" ht="15.75">
      <c r="A5" s="9" t="s">
        <v>108</v>
      </c>
      <c r="E5" s="5"/>
    </row>
    <row r="6" spans="1:5">
      <c r="A6" t="s">
        <v>11</v>
      </c>
      <c r="B6" s="37">
        <v>1900000</v>
      </c>
      <c r="C6" s="37">
        <v>1800000</v>
      </c>
      <c r="D6" s="37">
        <f>SUM(B6:C6)</f>
        <v>3700000</v>
      </c>
      <c r="E6" s="5"/>
    </row>
    <row r="7" spans="1:5">
      <c r="B7" s="38"/>
      <c r="C7" s="38"/>
      <c r="D7" s="38"/>
      <c r="E7" s="5"/>
    </row>
    <row r="8" spans="1:5" ht="15.75">
      <c r="A8" s="9" t="s">
        <v>109</v>
      </c>
      <c r="B8" s="38"/>
      <c r="C8" s="38"/>
      <c r="D8" s="38"/>
      <c r="E8" s="5"/>
    </row>
    <row r="9" spans="1:5">
      <c r="A9" t="s">
        <v>23</v>
      </c>
      <c r="B9" s="37">
        <v>900000</v>
      </c>
      <c r="C9" s="37">
        <v>1000000</v>
      </c>
      <c r="D9" s="37">
        <f t="shared" ref="D9:D11" si="0">SUM(B9:C9)</f>
        <v>1900000</v>
      </c>
      <c r="E9" s="5"/>
    </row>
    <row r="10" spans="1:5">
      <c r="A10" t="s">
        <v>110</v>
      </c>
      <c r="B10" s="37">
        <v>350000</v>
      </c>
      <c r="C10" s="37">
        <v>350000</v>
      </c>
      <c r="D10" s="37">
        <f t="shared" si="0"/>
        <v>700000</v>
      </c>
      <c r="E10" s="5"/>
    </row>
    <row r="11" spans="1:5">
      <c r="A11" t="s">
        <v>111</v>
      </c>
      <c r="B11" s="23">
        <v>80000</v>
      </c>
      <c r="C11" s="23">
        <v>80000</v>
      </c>
      <c r="D11" s="23">
        <f t="shared" si="0"/>
        <v>160000</v>
      </c>
      <c r="E11" s="5"/>
    </row>
    <row r="12" spans="1:5">
      <c r="A12" t="s">
        <v>112</v>
      </c>
      <c r="B12" s="37">
        <f>SUM(B9:B11)</f>
        <v>1330000</v>
      </c>
      <c r="C12" s="37">
        <f t="shared" ref="C12:D12" si="1">SUM(C9:C11)</f>
        <v>1430000</v>
      </c>
      <c r="D12" s="37">
        <f t="shared" si="1"/>
        <v>2760000</v>
      </c>
      <c r="E12" s="5"/>
    </row>
    <row r="13" spans="1:5">
      <c r="B13" s="38"/>
      <c r="C13" s="38"/>
      <c r="D13" s="38"/>
      <c r="E13" s="5"/>
    </row>
    <row r="14" spans="1:5" ht="15.75">
      <c r="A14" s="9" t="s">
        <v>113</v>
      </c>
      <c r="B14" s="37">
        <f>B6-B12</f>
        <v>570000</v>
      </c>
      <c r="C14" s="37">
        <f>C6-C12</f>
        <v>370000</v>
      </c>
      <c r="D14" s="37">
        <f>D6-D12</f>
        <v>940000</v>
      </c>
      <c r="E14" s="5"/>
    </row>
    <row r="15" spans="1:5">
      <c r="A15" t="s">
        <v>114</v>
      </c>
      <c r="B15" s="38"/>
      <c r="C15" s="38"/>
      <c r="D15" s="23">
        <v>200000</v>
      </c>
      <c r="E15" s="5"/>
    </row>
    <row r="16" spans="1:5" ht="15.75">
      <c r="A16" s="9" t="s">
        <v>32</v>
      </c>
      <c r="B16" s="38"/>
      <c r="C16" s="38"/>
      <c r="D16" s="37">
        <f>D6-D12-D15</f>
        <v>740000</v>
      </c>
      <c r="E16" s="5"/>
    </row>
    <row r="17" spans="2:5">
      <c r="B17" s="5"/>
      <c r="C17" s="5"/>
      <c r="D17" s="5"/>
      <c r="E17" s="5"/>
    </row>
    <row r="18" spans="2:5">
      <c r="B18" s="5"/>
      <c r="C18" s="5"/>
      <c r="D18" s="5"/>
      <c r="E18" s="5"/>
    </row>
    <row r="19" spans="2:5">
      <c r="B19" s="5"/>
      <c r="C19" s="5"/>
      <c r="D19" s="5"/>
      <c r="E19" s="5"/>
    </row>
    <row r="20" spans="2:5">
      <c r="B20" s="5"/>
      <c r="C20" s="5"/>
      <c r="D20" s="5"/>
      <c r="E20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6" sqref="E6"/>
    </sheetView>
  </sheetViews>
  <sheetFormatPr defaultRowHeight="15"/>
  <cols>
    <col min="1" max="1" width="21.42578125" customWidth="1"/>
    <col min="2" max="2" width="10.85546875" customWidth="1"/>
    <col min="3" max="3" width="11.140625" customWidth="1"/>
    <col min="4" max="4" width="10.85546875" customWidth="1"/>
  </cols>
  <sheetData>
    <row r="1" spans="1:5" ht="21">
      <c r="A1" s="17" t="s">
        <v>115</v>
      </c>
    </row>
    <row r="2" spans="1:5" ht="15.75">
      <c r="A2" s="9" t="s">
        <v>9</v>
      </c>
    </row>
    <row r="3" spans="1:5" ht="21">
      <c r="A3" s="17"/>
    </row>
    <row r="4" spans="1:5" ht="15.75">
      <c r="B4" s="13" t="s">
        <v>116</v>
      </c>
      <c r="C4" s="13" t="s">
        <v>117</v>
      </c>
      <c r="D4" s="13" t="s">
        <v>107</v>
      </c>
    </row>
    <row r="5" spans="1:5" ht="15.75">
      <c r="A5" s="9" t="s">
        <v>108</v>
      </c>
      <c r="B5" s="5"/>
      <c r="C5" s="5"/>
      <c r="D5" s="5"/>
      <c r="E5" s="5"/>
    </row>
    <row r="6" spans="1:5">
      <c r="A6" t="s">
        <v>11</v>
      </c>
      <c r="B6" s="37">
        <v>10000000</v>
      </c>
      <c r="C6" s="37">
        <v>540000</v>
      </c>
      <c r="D6" s="37">
        <f>SUM(B6:C6)</f>
        <v>10540000</v>
      </c>
      <c r="E6" s="5"/>
    </row>
    <row r="7" spans="1:5">
      <c r="B7" s="38"/>
      <c r="C7" s="38"/>
      <c r="D7" s="38"/>
      <c r="E7" s="5"/>
    </row>
    <row r="8" spans="1:5" ht="15.75">
      <c r="A8" s="9" t="s">
        <v>109</v>
      </c>
      <c r="B8" s="38"/>
      <c r="C8" s="38"/>
      <c r="D8" s="38"/>
      <c r="E8" s="5"/>
    </row>
    <row r="9" spans="1:5">
      <c r="A9" t="s">
        <v>23</v>
      </c>
      <c r="B9" s="37">
        <v>5900000</v>
      </c>
      <c r="C9" s="37">
        <v>0</v>
      </c>
      <c r="D9" s="37">
        <f>SUM(B9:C9)</f>
        <v>5900000</v>
      </c>
      <c r="E9" s="5"/>
    </row>
    <row r="10" spans="1:5">
      <c r="A10" t="s">
        <v>110</v>
      </c>
      <c r="B10" s="37">
        <v>1800000</v>
      </c>
      <c r="C10" s="37">
        <v>150000</v>
      </c>
      <c r="D10" s="37">
        <f t="shared" ref="D10:D13" si="0">SUM(B10:C10)</f>
        <v>1950000</v>
      </c>
      <c r="E10" s="5"/>
    </row>
    <row r="11" spans="1:5">
      <c r="A11" t="s">
        <v>111</v>
      </c>
      <c r="B11" s="37">
        <v>300000</v>
      </c>
      <c r="C11" s="37">
        <v>0</v>
      </c>
      <c r="D11" s="37">
        <f t="shared" si="0"/>
        <v>300000</v>
      </c>
      <c r="E11" s="5"/>
    </row>
    <row r="12" spans="1:5">
      <c r="A12" t="s">
        <v>29</v>
      </c>
      <c r="B12" s="37">
        <v>210000</v>
      </c>
      <c r="C12" s="37">
        <v>0</v>
      </c>
      <c r="D12" s="37">
        <f t="shared" si="0"/>
        <v>210000</v>
      </c>
      <c r="E12" s="5"/>
    </row>
    <row r="13" spans="1:5">
      <c r="A13" t="s">
        <v>118</v>
      </c>
      <c r="B13" s="23">
        <v>200000</v>
      </c>
      <c r="C13" s="23">
        <v>0</v>
      </c>
      <c r="D13" s="23">
        <f t="shared" si="0"/>
        <v>200000</v>
      </c>
      <c r="E13" s="5"/>
    </row>
    <row r="14" spans="1:5">
      <c r="A14" t="s">
        <v>112</v>
      </c>
      <c r="B14" s="37">
        <f>SUM(B9:B13)</f>
        <v>8410000</v>
      </c>
      <c r="C14" s="37">
        <f t="shared" ref="C14:D14" si="1">SUM(C9:C13)</f>
        <v>150000</v>
      </c>
      <c r="D14" s="37">
        <f t="shared" si="1"/>
        <v>8560000</v>
      </c>
      <c r="E14" s="5"/>
    </row>
    <row r="15" spans="1:5">
      <c r="B15" s="38"/>
      <c r="C15" s="156"/>
      <c r="D15" s="38"/>
      <c r="E15" s="5"/>
    </row>
    <row r="16" spans="1:5" ht="15.75">
      <c r="A16" s="9" t="s">
        <v>113</v>
      </c>
      <c r="B16" s="37">
        <f>B6-B14</f>
        <v>1590000</v>
      </c>
      <c r="C16" s="37">
        <f t="shared" ref="C16:D16" si="2">C6-C14</f>
        <v>390000</v>
      </c>
      <c r="D16" s="37">
        <f t="shared" si="2"/>
        <v>1980000</v>
      </c>
      <c r="E16" s="5"/>
    </row>
    <row r="17" spans="1:5">
      <c r="A17" t="s">
        <v>114</v>
      </c>
      <c r="B17" s="38"/>
      <c r="C17" s="38"/>
      <c r="D17" s="23">
        <v>400000</v>
      </c>
      <c r="E17" s="5"/>
    </row>
    <row r="18" spans="1:5" ht="15.75">
      <c r="A18" s="9" t="s">
        <v>32</v>
      </c>
      <c r="B18" s="38"/>
      <c r="C18" s="38"/>
      <c r="D18" s="37">
        <f>D6-D14-D17</f>
        <v>1580000</v>
      </c>
      <c r="E18" s="5"/>
    </row>
    <row r="19" spans="1:5">
      <c r="B19" s="5"/>
      <c r="C19" s="5"/>
      <c r="E19" s="5"/>
    </row>
    <row r="20" spans="1:5" ht="15.75">
      <c r="A20" s="9"/>
      <c r="B20" s="5"/>
      <c r="C20" s="5"/>
      <c r="D20" s="5"/>
      <c r="E20" s="5"/>
    </row>
    <row r="21" spans="1:5">
      <c r="B21" s="5"/>
      <c r="C21" s="5"/>
      <c r="D21" s="5"/>
      <c r="E21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7" sqref="F17"/>
    </sheetView>
  </sheetViews>
  <sheetFormatPr defaultRowHeight="15"/>
  <cols>
    <col min="1" max="1" width="28.85546875" customWidth="1"/>
    <col min="2" max="2" width="14.28515625" customWidth="1"/>
    <col min="3" max="3" width="11.5703125" bestFit="1" customWidth="1"/>
  </cols>
  <sheetData>
    <row r="1" spans="1:5" ht="21">
      <c r="A1" s="17" t="s">
        <v>119</v>
      </c>
    </row>
    <row r="2" spans="1:5" ht="15.75">
      <c r="A2" s="9" t="s">
        <v>9</v>
      </c>
    </row>
    <row r="3" spans="1:5" ht="21">
      <c r="A3" s="17"/>
    </row>
    <row r="4" spans="1:5" ht="15.75">
      <c r="B4" s="13" t="s">
        <v>120</v>
      </c>
      <c r="C4" s="13" t="s">
        <v>121</v>
      </c>
      <c r="D4" s="13" t="s">
        <v>107</v>
      </c>
    </row>
    <row r="5" spans="1:5" ht="15.75">
      <c r="A5" s="9" t="s">
        <v>108</v>
      </c>
      <c r="B5" s="5"/>
      <c r="C5" s="5"/>
      <c r="D5" s="5"/>
      <c r="E5" s="5"/>
    </row>
    <row r="6" spans="1:5">
      <c r="A6" t="s">
        <v>11</v>
      </c>
      <c r="B6" s="37">
        <v>4500000</v>
      </c>
      <c r="C6" s="37">
        <v>3600000</v>
      </c>
      <c r="D6" s="37">
        <v>8100000</v>
      </c>
      <c r="E6" s="5"/>
    </row>
    <row r="7" spans="1:5">
      <c r="B7" s="38"/>
      <c r="C7" s="38"/>
      <c r="D7" s="38"/>
      <c r="E7" s="5"/>
    </row>
    <row r="8" spans="1:5" ht="15.75">
      <c r="A8" s="9" t="s">
        <v>109</v>
      </c>
      <c r="B8" s="38"/>
      <c r="C8" s="38"/>
      <c r="D8" s="38"/>
      <c r="E8" s="5"/>
    </row>
    <row r="9" spans="1:5">
      <c r="A9" t="s">
        <v>23</v>
      </c>
      <c r="B9" s="37">
        <v>2420000</v>
      </c>
      <c r="C9" s="37">
        <v>890000</v>
      </c>
      <c r="D9" s="37">
        <f>SUM(B9:C9)</f>
        <v>3310000</v>
      </c>
      <c r="E9" s="5"/>
    </row>
    <row r="10" spans="1:5">
      <c r="A10" t="s">
        <v>110</v>
      </c>
      <c r="B10" s="37">
        <v>1640000</v>
      </c>
      <c r="C10" s="37">
        <v>1890000</v>
      </c>
      <c r="D10" s="37">
        <f t="shared" ref="D10:D11" si="0">SUM(B10:C10)</f>
        <v>3530000</v>
      </c>
      <c r="E10" s="5"/>
    </row>
    <row r="11" spans="1:5">
      <c r="A11" t="s">
        <v>111</v>
      </c>
      <c r="B11" s="23">
        <v>150000</v>
      </c>
      <c r="C11" s="23">
        <v>270000</v>
      </c>
      <c r="D11" s="23">
        <f t="shared" si="0"/>
        <v>420000</v>
      </c>
      <c r="E11" s="5"/>
    </row>
    <row r="12" spans="1:5">
      <c r="A12" t="s">
        <v>112</v>
      </c>
      <c r="B12" s="37">
        <f>SUM(B9:B11)</f>
        <v>4210000</v>
      </c>
      <c r="C12" s="37">
        <f>SUM(C9:C11)</f>
        <v>3050000</v>
      </c>
      <c r="D12" s="37">
        <f>SUM(D9:D11)</f>
        <v>7260000</v>
      </c>
      <c r="E12" s="5"/>
    </row>
    <row r="13" spans="1:5">
      <c r="B13" s="38"/>
      <c r="C13" s="156"/>
      <c r="D13" s="38"/>
      <c r="E13" s="5"/>
    </row>
    <row r="14" spans="1:5" ht="15.75">
      <c r="A14" s="9" t="s">
        <v>113</v>
      </c>
      <c r="B14" s="37">
        <f>B6-B12</f>
        <v>290000</v>
      </c>
      <c r="C14" s="37">
        <f t="shared" ref="C14:D14" si="1">C6-C12</f>
        <v>550000</v>
      </c>
      <c r="D14" s="37">
        <f t="shared" si="1"/>
        <v>840000</v>
      </c>
      <c r="E14" s="5"/>
    </row>
    <row r="15" spans="1:5">
      <c r="A15" t="s">
        <v>114</v>
      </c>
      <c r="B15" s="38"/>
      <c r="C15" s="38"/>
      <c r="D15" s="23">
        <v>670000</v>
      </c>
      <c r="E15" s="5"/>
    </row>
    <row r="16" spans="1:5" ht="15.75">
      <c r="A16" s="9"/>
      <c r="B16" s="38"/>
      <c r="C16" s="38"/>
      <c r="D16" s="38"/>
      <c r="E16" s="5"/>
    </row>
    <row r="17" spans="1:5" ht="15.75">
      <c r="A17" s="9" t="s">
        <v>32</v>
      </c>
      <c r="B17" s="38"/>
      <c r="C17" s="38"/>
      <c r="D17" s="37">
        <f>D6-D12-D15</f>
        <v>170000</v>
      </c>
      <c r="E17" s="5"/>
    </row>
    <row r="18" spans="1:5" ht="15.75">
      <c r="A18" s="9"/>
      <c r="B18" s="5"/>
      <c r="C18" s="5"/>
      <c r="D18" s="5"/>
      <c r="E18" s="5"/>
    </row>
    <row r="19" spans="1:5">
      <c r="B19" s="5"/>
      <c r="C19" s="5"/>
      <c r="D19" s="5"/>
      <c r="E19" s="5"/>
    </row>
    <row r="20" spans="1:5">
      <c r="B20" s="5"/>
      <c r="C20" s="5"/>
      <c r="D20" s="5"/>
      <c r="E20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L16" sqref="L16"/>
    </sheetView>
  </sheetViews>
  <sheetFormatPr defaultRowHeight="15"/>
  <cols>
    <col min="1" max="1" width="29.42578125" customWidth="1"/>
    <col min="2" max="2" width="13" customWidth="1"/>
    <col min="3" max="3" width="14.28515625" customWidth="1"/>
    <col min="4" max="4" width="13.28515625" customWidth="1"/>
  </cols>
  <sheetData>
    <row r="1" spans="1:5" ht="21">
      <c r="A1" s="17" t="s">
        <v>122</v>
      </c>
    </row>
    <row r="2" spans="1:5" ht="15.75">
      <c r="A2" s="9" t="s">
        <v>123</v>
      </c>
    </row>
    <row r="4" spans="1:5" ht="15.75">
      <c r="B4" s="13" t="s">
        <v>124</v>
      </c>
      <c r="C4" s="13" t="s">
        <v>125</v>
      </c>
      <c r="D4" s="13" t="s">
        <v>107</v>
      </c>
    </row>
    <row r="5" spans="1:5" ht="15.75">
      <c r="A5" s="9" t="s">
        <v>108</v>
      </c>
    </row>
    <row r="6" spans="1:5">
      <c r="A6" s="12" t="s">
        <v>126</v>
      </c>
      <c r="B6" s="3">
        <f>64800000*1.02</f>
        <v>66096000</v>
      </c>
      <c r="C6" s="3">
        <f>47400000*1.02</f>
        <v>48348000</v>
      </c>
      <c r="D6" s="3">
        <f>SUM(B6:C6)</f>
        <v>114444000</v>
      </c>
      <c r="E6" s="5"/>
    </row>
    <row r="7" spans="1:5">
      <c r="B7" s="5"/>
      <c r="C7" s="5"/>
      <c r="D7" s="5"/>
      <c r="E7" s="5"/>
    </row>
    <row r="8" spans="1:5" ht="15.75">
      <c r="A8" s="9" t="s">
        <v>127</v>
      </c>
      <c r="B8" s="5"/>
      <c r="C8" s="5"/>
      <c r="D8" s="5"/>
      <c r="E8" s="5"/>
    </row>
    <row r="9" spans="1:5">
      <c r="A9" t="s">
        <v>128</v>
      </c>
      <c r="B9" s="3">
        <v>48316000</v>
      </c>
      <c r="C9" s="3">
        <v>31716000</v>
      </c>
      <c r="D9" s="3">
        <f>SUM(B9:C9)</f>
        <v>80032000</v>
      </c>
      <c r="E9" s="5"/>
    </row>
    <row r="10" spans="1:5" ht="15.75">
      <c r="A10" s="9" t="s">
        <v>129</v>
      </c>
      <c r="B10" s="3">
        <f>B6-B9</f>
        <v>17780000</v>
      </c>
      <c r="C10" s="3">
        <f>C6-C9</f>
        <v>16632000</v>
      </c>
      <c r="D10" s="3">
        <f>D6-D9</f>
        <v>34412000</v>
      </c>
      <c r="E10" s="5"/>
    </row>
    <row r="11" spans="1:5">
      <c r="B11" s="5"/>
      <c r="C11" s="5"/>
      <c r="D11" s="5"/>
      <c r="E11" s="5"/>
    </row>
    <row r="12" spans="1:5" ht="15.75">
      <c r="A12" s="9" t="s">
        <v>130</v>
      </c>
      <c r="B12" s="5"/>
      <c r="C12" s="5"/>
      <c r="D12" s="5"/>
      <c r="E12" s="5"/>
    </row>
    <row r="13" spans="1:5">
      <c r="A13" t="s">
        <v>52</v>
      </c>
      <c r="B13" s="3">
        <v>5800000</v>
      </c>
      <c r="C13" s="3">
        <v>6500000</v>
      </c>
      <c r="D13" s="3">
        <f>SUM(B13:C13)</f>
        <v>12300000</v>
      </c>
      <c r="E13" s="5"/>
    </row>
    <row r="14" spans="1:5">
      <c r="A14" t="s">
        <v>131</v>
      </c>
      <c r="B14" s="3">
        <v>800000</v>
      </c>
      <c r="C14" s="3">
        <v>900000</v>
      </c>
      <c r="D14" s="3">
        <f t="shared" ref="D14:D16" si="0">SUM(B14:C14)</f>
        <v>1700000</v>
      </c>
      <c r="E14" s="5"/>
    </row>
    <row r="15" spans="1:5">
      <c r="A15" t="s">
        <v>30</v>
      </c>
      <c r="B15" s="3">
        <v>700000</v>
      </c>
      <c r="C15" s="3">
        <v>800000</v>
      </c>
      <c r="D15" s="3">
        <f t="shared" si="0"/>
        <v>1500000</v>
      </c>
      <c r="E15" s="5"/>
    </row>
    <row r="16" spans="1:5" ht="15.75">
      <c r="A16" t="s">
        <v>132</v>
      </c>
      <c r="B16" s="15">
        <v>400000</v>
      </c>
      <c r="C16" s="15">
        <v>600000</v>
      </c>
      <c r="D16" s="15">
        <f t="shared" si="0"/>
        <v>1000000</v>
      </c>
      <c r="E16" s="5"/>
    </row>
    <row r="17" spans="1:5">
      <c r="A17" t="s">
        <v>133</v>
      </c>
      <c r="B17" s="3">
        <f>SUM(B13:B16)</f>
        <v>7700000</v>
      </c>
      <c r="C17" s="3">
        <f t="shared" ref="C17:D17" si="1">SUM(C13:C16)</f>
        <v>8800000</v>
      </c>
      <c r="D17" s="3">
        <f t="shared" si="1"/>
        <v>16500000</v>
      </c>
      <c r="E17" s="5"/>
    </row>
    <row r="18" spans="1:5">
      <c r="B18" s="5"/>
      <c r="C18" s="5"/>
      <c r="D18" s="5"/>
      <c r="E18" s="5"/>
    </row>
    <row r="19" spans="1:5" ht="15.75">
      <c r="A19" s="9" t="s">
        <v>134</v>
      </c>
      <c r="B19" s="3">
        <f>B10-B17</f>
        <v>10080000</v>
      </c>
      <c r="C19" s="3">
        <f>C10-C17</f>
        <v>7832000</v>
      </c>
      <c r="D19" s="3">
        <f>SUM(B19:C19)</f>
        <v>17912000</v>
      </c>
      <c r="E19" s="5"/>
    </row>
    <row r="20" spans="1:5">
      <c r="B20" s="5"/>
      <c r="C20" s="5"/>
      <c r="D20" s="5"/>
      <c r="E20" s="5"/>
    </row>
    <row r="21" spans="1:5" ht="15.75">
      <c r="B21" s="39" t="s">
        <v>135</v>
      </c>
      <c r="C21" s="5"/>
      <c r="D21" s="5"/>
      <c r="E21" s="5"/>
    </row>
    <row r="22" spans="1:5">
      <c r="B22" s="5" t="s">
        <v>52</v>
      </c>
      <c r="C22" s="5"/>
      <c r="D22" s="3">
        <v>3600000</v>
      </c>
      <c r="E22" s="5"/>
    </row>
    <row r="23" spans="1:5">
      <c r="B23" s="5" t="s">
        <v>131</v>
      </c>
      <c r="C23" s="5"/>
      <c r="D23" s="3">
        <v>200000</v>
      </c>
      <c r="E23" s="5"/>
    </row>
    <row r="24" spans="1:5">
      <c r="B24" s="5" t="s">
        <v>29</v>
      </c>
      <c r="C24" s="5"/>
      <c r="D24" s="3">
        <v>3900000</v>
      </c>
      <c r="E24" s="5"/>
    </row>
    <row r="25" spans="1:5">
      <c r="B25" s="5" t="s">
        <v>136</v>
      </c>
      <c r="D25" s="3">
        <f>2000000/5</f>
        <v>400000</v>
      </c>
    </row>
    <row r="26" spans="1:5">
      <c r="B26" s="5" t="s">
        <v>137</v>
      </c>
      <c r="D26" s="3">
        <f>2000000*0.08</f>
        <v>160000</v>
      </c>
    </row>
    <row r="27" spans="1:5" ht="15.75">
      <c r="B27" s="5" t="s">
        <v>40</v>
      </c>
      <c r="D27" s="15">
        <v>850000</v>
      </c>
    </row>
    <row r="28" spans="1:5">
      <c r="B28" s="5" t="s">
        <v>133</v>
      </c>
      <c r="D28" s="3">
        <f>SUM(D22:D27)</f>
        <v>9110000</v>
      </c>
    </row>
    <row r="30" spans="1:5" ht="15.75">
      <c r="B30" s="39" t="s">
        <v>32</v>
      </c>
      <c r="D30" s="3">
        <f>D19-D28</f>
        <v>8802000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4" sqref="E4:E14"/>
    </sheetView>
  </sheetViews>
  <sheetFormatPr defaultRowHeight="15"/>
  <cols>
    <col min="1" max="1" width="19.5703125" customWidth="1"/>
    <col min="5" max="5" width="19.42578125" customWidth="1"/>
  </cols>
  <sheetData>
    <row r="1" spans="1:6" ht="21">
      <c r="A1" s="1" t="s">
        <v>138</v>
      </c>
      <c r="E1" s="1" t="s">
        <v>138</v>
      </c>
    </row>
    <row r="2" spans="1:6" ht="15.75">
      <c r="A2" s="9" t="s">
        <v>9</v>
      </c>
      <c r="E2" s="9" t="s">
        <v>140</v>
      </c>
      <c r="F2" s="5"/>
    </row>
    <row r="3" spans="1:6">
      <c r="F3" s="5"/>
    </row>
    <row r="4" spans="1:6" ht="15.75">
      <c r="A4" s="9" t="s">
        <v>108</v>
      </c>
      <c r="E4" s="9" t="s">
        <v>108</v>
      </c>
    </row>
    <row r="5" spans="1:6">
      <c r="A5" t="s">
        <v>11</v>
      </c>
      <c r="B5" s="3">
        <f>30*300*25</f>
        <v>225000</v>
      </c>
      <c r="E5" t="s">
        <v>11</v>
      </c>
      <c r="F5" s="3">
        <f>40*300*25</f>
        <v>300000</v>
      </c>
    </row>
    <row r="6" spans="1:6">
      <c r="B6" s="5"/>
      <c r="F6" s="5"/>
    </row>
    <row r="7" spans="1:6" ht="15.75">
      <c r="A7" s="9" t="s">
        <v>109</v>
      </c>
      <c r="B7" s="5"/>
      <c r="E7" s="9" t="s">
        <v>109</v>
      </c>
      <c r="F7" s="5"/>
    </row>
    <row r="8" spans="1:6">
      <c r="A8" t="s">
        <v>87</v>
      </c>
      <c r="B8" s="3">
        <f>30*300*9</f>
        <v>81000</v>
      </c>
      <c r="E8" t="s">
        <v>87</v>
      </c>
      <c r="F8" s="3">
        <f>40*300*9</f>
        <v>108000</v>
      </c>
    </row>
    <row r="9" spans="1:6">
      <c r="A9" t="s">
        <v>52</v>
      </c>
      <c r="B9" s="3">
        <f>3*300*120</f>
        <v>108000</v>
      </c>
      <c r="E9" t="s">
        <v>52</v>
      </c>
      <c r="F9" s="3">
        <f>3*300*120</f>
        <v>108000</v>
      </c>
    </row>
    <row r="10" spans="1:6">
      <c r="A10" t="s">
        <v>17</v>
      </c>
      <c r="B10" s="3">
        <f>12000/4</f>
        <v>3000</v>
      </c>
      <c r="E10" t="s">
        <v>17</v>
      </c>
      <c r="F10" s="3">
        <f>12000/4</f>
        <v>3000</v>
      </c>
    </row>
    <row r="11" spans="1:6" ht="15.75">
      <c r="A11" t="s">
        <v>139</v>
      </c>
      <c r="B11" s="10">
        <f>300*20</f>
        <v>6000</v>
      </c>
      <c r="E11" t="s">
        <v>141</v>
      </c>
      <c r="F11" s="10">
        <f>300*20</f>
        <v>6000</v>
      </c>
    </row>
    <row r="12" spans="1:6">
      <c r="A12" t="s">
        <v>112</v>
      </c>
      <c r="B12" s="3">
        <f>SUM(B8:B11)</f>
        <v>198000</v>
      </c>
      <c r="E12" t="s">
        <v>112</v>
      </c>
      <c r="F12" s="3">
        <f>SUM(F8:F11)</f>
        <v>225000</v>
      </c>
    </row>
    <row r="13" spans="1:6">
      <c r="B13" s="5"/>
      <c r="F13" s="5"/>
    </row>
    <row r="14" spans="1:6" ht="15.75">
      <c r="A14" s="9" t="s">
        <v>113</v>
      </c>
      <c r="B14" s="3">
        <f>B5-B12</f>
        <v>27000</v>
      </c>
      <c r="E14" s="9" t="s">
        <v>113</v>
      </c>
      <c r="F14" s="3">
        <f>F5-F12</f>
        <v>75000</v>
      </c>
    </row>
    <row r="15" spans="1:6">
      <c r="B15" s="5"/>
    </row>
    <row r="16" spans="1:6" ht="15.75">
      <c r="A16" s="9"/>
      <c r="B16" s="5"/>
    </row>
    <row r="17" spans="2:2">
      <c r="B17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2" sqref="E22"/>
    </sheetView>
  </sheetViews>
  <sheetFormatPr defaultRowHeight="15"/>
  <cols>
    <col min="1" max="1" width="18.5703125" customWidth="1"/>
    <col min="2" max="2" width="12.5703125" customWidth="1"/>
    <col min="4" max="4" width="19.7109375" bestFit="1" customWidth="1"/>
    <col min="5" max="5" width="10.140625" bestFit="1" customWidth="1"/>
  </cols>
  <sheetData>
    <row r="1" spans="1:5" ht="21">
      <c r="A1" s="17" t="s">
        <v>142</v>
      </c>
    </row>
    <row r="2" spans="1:5" ht="15.75">
      <c r="A2" s="9" t="s">
        <v>9</v>
      </c>
      <c r="D2" s="157" t="s">
        <v>293</v>
      </c>
      <c r="E2" s="158"/>
    </row>
    <row r="3" spans="1:5">
      <c r="D3" s="158"/>
      <c r="E3" s="158"/>
    </row>
    <row r="4" spans="1:5" ht="15.75">
      <c r="A4" s="9" t="s">
        <v>108</v>
      </c>
      <c r="D4" s="159" t="s">
        <v>108</v>
      </c>
      <c r="E4" s="158"/>
    </row>
    <row r="5" spans="1:5">
      <c r="A5" t="s">
        <v>11</v>
      </c>
      <c r="B5" s="3">
        <v>6000000</v>
      </c>
      <c r="D5" s="158" t="s">
        <v>11</v>
      </c>
      <c r="E5" s="160">
        <v>5000000</v>
      </c>
    </row>
    <row r="6" spans="1:5">
      <c r="B6" s="5"/>
      <c r="D6" s="158"/>
      <c r="E6" s="161"/>
    </row>
    <row r="7" spans="1:5" ht="15.75">
      <c r="A7" s="9" t="s">
        <v>109</v>
      </c>
      <c r="B7" s="5"/>
      <c r="D7" s="159" t="s">
        <v>109</v>
      </c>
      <c r="E7" s="161"/>
    </row>
    <row r="8" spans="1:5">
      <c r="A8" t="s">
        <v>23</v>
      </c>
      <c r="B8" s="3">
        <v>3600000</v>
      </c>
      <c r="D8" s="158" t="s">
        <v>23</v>
      </c>
      <c r="E8" s="160">
        <f>0.6*5000000</f>
        <v>3000000</v>
      </c>
    </row>
    <row r="9" spans="1:5" ht="15.75">
      <c r="A9" t="s">
        <v>52</v>
      </c>
      <c r="B9" s="15">
        <v>1440000</v>
      </c>
      <c r="D9" s="158" t="s">
        <v>52</v>
      </c>
      <c r="E9" s="162">
        <f>120000*12</f>
        <v>1440000</v>
      </c>
    </row>
    <row r="10" spans="1:5">
      <c r="A10" t="s">
        <v>112</v>
      </c>
      <c r="B10" s="3">
        <f>SUM(B8:B9)</f>
        <v>5040000</v>
      </c>
      <c r="D10" s="158" t="s">
        <v>112</v>
      </c>
      <c r="E10" s="160">
        <f>SUM(E8:E9)</f>
        <v>4440000</v>
      </c>
    </row>
    <row r="11" spans="1:5">
      <c r="B11" s="5"/>
      <c r="D11" s="158"/>
      <c r="E11" s="161"/>
    </row>
    <row r="12" spans="1:5" ht="15.75">
      <c r="A12" s="9" t="s">
        <v>113</v>
      </c>
      <c r="B12" s="3">
        <f>B5-B10</f>
        <v>960000</v>
      </c>
      <c r="D12" s="159" t="s">
        <v>113</v>
      </c>
      <c r="E12" s="160">
        <f>E5-E10</f>
        <v>560000</v>
      </c>
    </row>
    <row r="13" spans="1:5" ht="15.75">
      <c r="A13" s="9"/>
      <c r="B13" s="5"/>
    </row>
    <row r="14" spans="1:5">
      <c r="A14" s="12"/>
      <c r="B14" s="5"/>
    </row>
    <row r="15" spans="1:5" ht="15.75">
      <c r="A15" s="9"/>
      <c r="B15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C22" sqref="C22"/>
    </sheetView>
  </sheetViews>
  <sheetFormatPr defaultRowHeight="15"/>
  <cols>
    <col min="1" max="1" width="21.140625" bestFit="1" customWidth="1"/>
  </cols>
  <sheetData>
    <row r="1" spans="1:2" ht="21">
      <c r="A1" s="17" t="s">
        <v>143</v>
      </c>
    </row>
    <row r="2" spans="1:2" ht="15.75">
      <c r="A2" s="9" t="s">
        <v>9</v>
      </c>
    </row>
    <row r="4" spans="1:2" ht="15.75">
      <c r="A4" s="9" t="s">
        <v>108</v>
      </c>
    </row>
    <row r="5" spans="1:2">
      <c r="A5" t="s">
        <v>144</v>
      </c>
      <c r="B5" s="3">
        <v>16000</v>
      </c>
    </row>
    <row r="6" spans="1:2" ht="15.75">
      <c r="A6" t="s">
        <v>145</v>
      </c>
      <c r="B6" s="15">
        <v>5000</v>
      </c>
    </row>
    <row r="7" spans="1:2">
      <c r="A7" t="s">
        <v>86</v>
      </c>
      <c r="B7" s="3">
        <f>SUM(B5:B6)</f>
        <v>21000</v>
      </c>
    </row>
    <row r="8" spans="1:2">
      <c r="B8" s="5"/>
    </row>
    <row r="9" spans="1:2" ht="15.75">
      <c r="A9" s="9" t="s">
        <v>109</v>
      </c>
      <c r="B9" s="5"/>
    </row>
    <row r="10" spans="1:2">
      <c r="A10" t="s">
        <v>24</v>
      </c>
      <c r="B10" s="3">
        <v>6400</v>
      </c>
    </row>
    <row r="11" spans="1:2" ht="15.75">
      <c r="A11" t="s">
        <v>146</v>
      </c>
      <c r="B11" s="15">
        <v>2000</v>
      </c>
    </row>
    <row r="12" spans="1:2">
      <c r="A12" t="s">
        <v>112</v>
      </c>
      <c r="B12" s="3">
        <f>SUM(B10:B11)</f>
        <v>8400</v>
      </c>
    </row>
    <row r="13" spans="1:2">
      <c r="B13" s="5"/>
    </row>
    <row r="14" spans="1:2" ht="15.75">
      <c r="A14" s="9" t="s">
        <v>113</v>
      </c>
      <c r="B14" s="3">
        <f>B7-B12</f>
        <v>12600</v>
      </c>
    </row>
    <row r="15" spans="1:2" ht="15.75">
      <c r="A15" s="9"/>
      <c r="B15" s="5"/>
    </row>
    <row r="16" spans="1:2">
      <c r="A16" s="12"/>
      <c r="B16" s="5"/>
    </row>
    <row r="17" spans="1:2">
      <c r="A17" s="12"/>
      <c r="B17" s="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15" workbookViewId="0">
      <selection activeCell="C4" sqref="C4"/>
    </sheetView>
  </sheetViews>
  <sheetFormatPr defaultRowHeight="15"/>
  <cols>
    <col min="1" max="1" width="26" customWidth="1"/>
    <col min="2" max="2" width="26.28515625" customWidth="1"/>
    <col min="3" max="3" width="21.85546875" customWidth="1"/>
  </cols>
  <sheetData>
    <row r="1" spans="1:3" ht="21">
      <c r="A1" s="1" t="s">
        <v>147</v>
      </c>
    </row>
    <row r="2" spans="1:3" ht="18.75">
      <c r="A2" s="40" t="s">
        <v>148</v>
      </c>
      <c r="B2" s="40"/>
      <c r="C2" s="41"/>
    </row>
    <row r="4" spans="1:3" ht="15.75">
      <c r="A4" s="42" t="s">
        <v>149</v>
      </c>
      <c r="B4" s="41"/>
      <c r="C4" s="43">
        <v>8640000</v>
      </c>
    </row>
    <row r="5" spans="1:3" ht="15.75">
      <c r="A5" s="41"/>
      <c r="B5" s="41"/>
      <c r="C5" s="44"/>
    </row>
    <row r="6" spans="1:3" ht="15.75">
      <c r="A6" s="42" t="s">
        <v>150</v>
      </c>
      <c r="B6" s="41"/>
      <c r="C6" s="43">
        <v>-135000</v>
      </c>
    </row>
    <row r="7" spans="1:3" ht="15.75">
      <c r="A7" s="42" t="s">
        <v>151</v>
      </c>
      <c r="B7" s="41"/>
      <c r="C7" s="43">
        <v>-4910000</v>
      </c>
    </row>
    <row r="8" spans="1:3" ht="15.75">
      <c r="A8" s="42" t="s">
        <v>152</v>
      </c>
      <c r="B8" s="41"/>
      <c r="C8" s="43">
        <v>-763000</v>
      </c>
    </row>
    <row r="9" spans="1:3" ht="15.75">
      <c r="A9" s="42" t="s">
        <v>153</v>
      </c>
      <c r="B9" s="41"/>
      <c r="C9" s="43">
        <v>-2295000</v>
      </c>
    </row>
    <row r="10" spans="1:3" ht="15.75">
      <c r="A10" s="42" t="s">
        <v>154</v>
      </c>
      <c r="B10" s="41"/>
      <c r="C10" s="43">
        <v>-33000</v>
      </c>
    </row>
    <row r="11" spans="1:3" ht="15.75">
      <c r="A11" s="45" t="s">
        <v>155</v>
      </c>
      <c r="B11" s="41"/>
      <c r="C11" s="43">
        <f>SUM(C4:C10)</f>
        <v>504000</v>
      </c>
    </row>
    <row r="13" spans="1:3" ht="15.75">
      <c r="A13" s="42" t="s">
        <v>156</v>
      </c>
      <c r="B13" s="41"/>
      <c r="C13" s="43">
        <v>0</v>
      </c>
    </row>
    <row r="14" spans="1:3" ht="15.75">
      <c r="A14" s="42" t="s">
        <v>42</v>
      </c>
      <c r="B14" s="41"/>
      <c r="C14" s="43">
        <v>-39500</v>
      </c>
    </row>
    <row r="15" spans="1:3" ht="15.75">
      <c r="A15" s="42"/>
      <c r="B15" s="41"/>
      <c r="C15" s="44"/>
    </row>
    <row r="16" spans="1:3" ht="15.75">
      <c r="A16" s="45" t="s">
        <v>157</v>
      </c>
      <c r="B16" s="41"/>
      <c r="C16" s="43">
        <f>SUM(C11:C14)</f>
        <v>464500</v>
      </c>
    </row>
    <row r="17" spans="1:3" ht="15.75">
      <c r="A17" s="45"/>
      <c r="B17" s="41"/>
      <c r="C17" s="44"/>
    </row>
    <row r="18" spans="1:3" ht="15.75">
      <c r="A18" s="45"/>
      <c r="B18" s="41"/>
      <c r="C18" s="44"/>
    </row>
    <row r="19" spans="1:3" ht="18.75">
      <c r="A19" s="40" t="s">
        <v>158</v>
      </c>
      <c r="B19" s="40"/>
      <c r="C19" s="41"/>
    </row>
    <row r="20" spans="1:3" ht="15.75">
      <c r="A20" s="45"/>
      <c r="B20" s="45"/>
      <c r="C20" s="41"/>
    </row>
    <row r="21" spans="1:3" ht="15.75">
      <c r="A21" s="45" t="s">
        <v>159</v>
      </c>
      <c r="B21" s="41"/>
      <c r="C21" s="41"/>
    </row>
    <row r="22" spans="1:3" ht="15.75">
      <c r="A22" s="45" t="s">
        <v>160</v>
      </c>
      <c r="B22" s="45"/>
      <c r="C22" s="41"/>
    </row>
    <row r="23" spans="1:3" ht="15.75">
      <c r="A23" s="46" t="s">
        <v>161</v>
      </c>
      <c r="B23" s="46"/>
      <c r="C23" s="41"/>
    </row>
    <row r="24" spans="1:3" ht="15.75">
      <c r="A24" s="42" t="s">
        <v>162</v>
      </c>
      <c r="B24" s="41"/>
      <c r="C24" s="43">
        <v>177000</v>
      </c>
    </row>
    <row r="25" spans="1:3" ht="15.75">
      <c r="A25" s="45" t="s">
        <v>163</v>
      </c>
      <c r="B25" s="41"/>
      <c r="C25" s="43">
        <f>SUM(C24)</f>
        <v>177000</v>
      </c>
    </row>
    <row r="27" spans="1:3" ht="15.75">
      <c r="A27" s="45" t="s">
        <v>164</v>
      </c>
      <c r="B27" s="45"/>
      <c r="C27" s="41"/>
    </row>
    <row r="28" spans="1:3" ht="15.75">
      <c r="A28" s="46" t="s">
        <v>165</v>
      </c>
      <c r="B28" s="46"/>
      <c r="C28" s="41"/>
    </row>
    <row r="29" spans="1:3" ht="15.75">
      <c r="A29" s="42" t="s">
        <v>165</v>
      </c>
      <c r="B29" s="41"/>
      <c r="C29" s="43">
        <v>710000</v>
      </c>
    </row>
    <row r="31" spans="1:3" ht="15.75">
      <c r="A31" s="46" t="s">
        <v>166</v>
      </c>
      <c r="B31" s="46"/>
      <c r="C31" s="41"/>
    </row>
    <row r="32" spans="1:3" ht="15.75">
      <c r="A32" s="42" t="s">
        <v>167</v>
      </c>
      <c r="B32" s="41"/>
      <c r="C32" s="43">
        <v>0</v>
      </c>
    </row>
    <row r="33" spans="1:3" ht="15.75">
      <c r="A33" s="42" t="s">
        <v>168</v>
      </c>
      <c r="B33" s="41"/>
      <c r="C33" s="43">
        <v>45000</v>
      </c>
    </row>
    <row r="35" spans="1:3" ht="15.75">
      <c r="A35" s="46" t="s">
        <v>169</v>
      </c>
      <c r="B35" s="46"/>
      <c r="C35" s="41"/>
    </row>
    <row r="36" spans="1:3" ht="15.75">
      <c r="A36" s="42" t="s">
        <v>170</v>
      </c>
      <c r="B36" s="41"/>
      <c r="C36" s="43">
        <v>490600</v>
      </c>
    </row>
    <row r="37" spans="1:3" ht="15.75">
      <c r="A37" s="45" t="s">
        <v>171</v>
      </c>
      <c r="B37" s="41"/>
      <c r="C37" s="43">
        <f>SUM(C29:C36)</f>
        <v>1245600</v>
      </c>
    </row>
    <row r="39" spans="1:3" ht="15.75">
      <c r="A39" s="45" t="s">
        <v>172</v>
      </c>
      <c r="B39" s="41"/>
      <c r="C39" s="43">
        <f>SUM(C37,C25)</f>
        <v>1422600</v>
      </c>
    </row>
    <row r="41" spans="1:3" ht="15.75">
      <c r="A41" s="45" t="s">
        <v>173</v>
      </c>
      <c r="B41" s="41"/>
      <c r="C41" s="41"/>
    </row>
    <row r="42" spans="1:3" ht="15.75">
      <c r="A42" s="45" t="s">
        <v>174</v>
      </c>
      <c r="B42" s="41"/>
      <c r="C42" s="44"/>
    </row>
    <row r="43" spans="1:3" ht="15.75">
      <c r="A43" s="42" t="s">
        <v>175</v>
      </c>
      <c r="B43" s="41"/>
      <c r="C43" s="43">
        <v>312000</v>
      </c>
    </row>
    <row r="44" spans="1:3" ht="15.75">
      <c r="A44" s="42" t="s">
        <v>176</v>
      </c>
      <c r="B44" s="41"/>
      <c r="C44" s="43">
        <v>-399000</v>
      </c>
    </row>
    <row r="45" spans="1:3" ht="15.75">
      <c r="A45" s="42" t="s">
        <v>157</v>
      </c>
      <c r="B45" s="41"/>
      <c r="C45" s="43">
        <v>464500</v>
      </c>
    </row>
    <row r="46" spans="1:3" ht="15.75">
      <c r="A46" s="45" t="s">
        <v>177</v>
      </c>
      <c r="B46" s="41"/>
      <c r="C46" s="43">
        <f>SUM(C43:C45)</f>
        <v>377500</v>
      </c>
    </row>
    <row r="48" spans="1:3" ht="15.75">
      <c r="A48" s="45" t="s">
        <v>178</v>
      </c>
      <c r="B48" s="41"/>
      <c r="C48" s="41"/>
    </row>
    <row r="49" spans="1:3" ht="15.75">
      <c r="A49" s="42" t="s">
        <v>179</v>
      </c>
      <c r="B49" s="41"/>
      <c r="C49" s="43">
        <v>600000</v>
      </c>
    </row>
    <row r="50" spans="1:3" ht="15.75">
      <c r="A50" s="42" t="s">
        <v>180</v>
      </c>
      <c r="B50" s="41"/>
      <c r="C50" s="43">
        <v>286000</v>
      </c>
    </row>
    <row r="51" spans="1:3" ht="15.75">
      <c r="A51" s="42" t="s">
        <v>181</v>
      </c>
      <c r="B51" s="41"/>
      <c r="C51" s="43">
        <v>159100</v>
      </c>
    </row>
    <row r="52" spans="1:3" ht="15.75">
      <c r="A52" s="45" t="s">
        <v>182</v>
      </c>
      <c r="B52" s="41"/>
      <c r="C52" s="43">
        <f>SUM(C49:C51)</f>
        <v>1045100</v>
      </c>
    </row>
    <row r="53" spans="1:3" ht="15.75">
      <c r="A53" s="45"/>
      <c r="B53" s="41"/>
      <c r="C53" s="44"/>
    </row>
    <row r="54" spans="1:3" ht="15.75">
      <c r="A54" s="45" t="s">
        <v>183</v>
      </c>
      <c r="B54" s="41"/>
      <c r="C54" s="43">
        <f>SUM(C52,C46)</f>
        <v>1422600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O3" sqref="O3"/>
    </sheetView>
  </sheetViews>
  <sheetFormatPr defaultRowHeight="15"/>
  <cols>
    <col min="1" max="1" width="47" customWidth="1"/>
    <col min="3" max="3" width="14.7109375" customWidth="1"/>
    <col min="8" max="8" width="18" customWidth="1"/>
    <col min="9" max="9" width="19" customWidth="1"/>
  </cols>
  <sheetData>
    <row r="1" spans="1:9" ht="21">
      <c r="A1" s="40" t="s">
        <v>158</v>
      </c>
      <c r="B1" s="40"/>
      <c r="C1" s="41"/>
      <c r="G1" s="1" t="s">
        <v>187</v>
      </c>
    </row>
    <row r="2" spans="1:9" ht="21">
      <c r="A2" s="45"/>
      <c r="B2" s="45"/>
      <c r="C2" s="41"/>
      <c r="G2" s="1"/>
    </row>
    <row r="3" spans="1:9" ht="18.75">
      <c r="A3" s="45" t="s">
        <v>159</v>
      </c>
      <c r="B3" s="41"/>
      <c r="C3" s="41"/>
      <c r="G3" s="40" t="s">
        <v>148</v>
      </c>
      <c r="H3" s="40"/>
      <c r="I3" s="41"/>
    </row>
    <row r="4" spans="1:9" ht="15.75">
      <c r="A4" s="45" t="s">
        <v>160</v>
      </c>
      <c r="B4" s="45"/>
      <c r="C4" s="41"/>
    </row>
    <row r="5" spans="1:9" ht="15.75">
      <c r="A5" s="46" t="s">
        <v>161</v>
      </c>
      <c r="B5" s="46"/>
      <c r="C5" s="41"/>
      <c r="G5" s="42" t="s">
        <v>149</v>
      </c>
      <c r="H5" s="41"/>
      <c r="I5" s="43">
        <v>5622800</v>
      </c>
    </row>
    <row r="6" spans="1:9" ht="15.75">
      <c r="A6" s="42" t="s">
        <v>162</v>
      </c>
      <c r="B6" s="41"/>
      <c r="C6" s="43">
        <v>224000</v>
      </c>
      <c r="G6" s="41"/>
      <c r="H6" s="41"/>
      <c r="I6" s="44"/>
    </row>
    <row r="7" spans="1:9" ht="15.75">
      <c r="A7" s="45" t="s">
        <v>163</v>
      </c>
      <c r="B7" s="41"/>
      <c r="C7" s="43">
        <f>SUM(C6)</f>
        <v>224000</v>
      </c>
      <c r="G7" s="42" t="s">
        <v>188</v>
      </c>
      <c r="H7" s="41"/>
      <c r="I7" s="43">
        <v>15000</v>
      </c>
    </row>
    <row r="8" spans="1:9" ht="15.75">
      <c r="G8" s="42" t="s">
        <v>151</v>
      </c>
      <c r="H8" s="41"/>
      <c r="I8" s="43">
        <v>-2411400</v>
      </c>
    </row>
    <row r="9" spans="1:9" ht="15.75">
      <c r="A9" s="45" t="s">
        <v>164</v>
      </c>
      <c r="B9" s="45"/>
      <c r="C9" s="41"/>
      <c r="G9" s="42" t="s">
        <v>152</v>
      </c>
      <c r="H9" s="41"/>
      <c r="I9" s="43">
        <v>-871400</v>
      </c>
    </row>
    <row r="10" spans="1:9" ht="15.75">
      <c r="A10" s="46" t="s">
        <v>165</v>
      </c>
      <c r="B10" s="46"/>
      <c r="C10" s="41"/>
      <c r="G10" s="42" t="s">
        <v>153</v>
      </c>
      <c r="H10" s="41"/>
      <c r="I10" s="43">
        <v>-1874000</v>
      </c>
    </row>
    <row r="11" spans="1:9" ht="15.75">
      <c r="A11" s="42" t="s">
        <v>184</v>
      </c>
      <c r="B11" s="41"/>
      <c r="C11" s="43">
        <v>48000</v>
      </c>
      <c r="G11" s="42" t="s">
        <v>154</v>
      </c>
      <c r="H11" s="41"/>
      <c r="I11" s="43">
        <v>-42000</v>
      </c>
    </row>
    <row r="12" spans="1:9" ht="15.75">
      <c r="G12" s="45" t="s">
        <v>155</v>
      </c>
      <c r="H12" s="41"/>
      <c r="I12" s="43">
        <f>SUM(I5:I11)</f>
        <v>439000</v>
      </c>
    </row>
    <row r="13" spans="1:9" ht="15.75">
      <c r="A13" s="46" t="s">
        <v>166</v>
      </c>
      <c r="B13" s="46"/>
      <c r="C13" s="41"/>
    </row>
    <row r="14" spans="1:9" ht="15.75">
      <c r="A14" s="42" t="s">
        <v>167</v>
      </c>
      <c r="B14" s="41"/>
      <c r="C14" s="43">
        <v>64700</v>
      </c>
      <c r="G14" s="42" t="s">
        <v>156</v>
      </c>
      <c r="H14" s="41"/>
      <c r="I14" s="43">
        <v>0</v>
      </c>
    </row>
    <row r="15" spans="1:9" ht="15.75">
      <c r="A15" s="42" t="s">
        <v>168</v>
      </c>
      <c r="B15" s="41"/>
      <c r="C15" s="43">
        <v>21000</v>
      </c>
      <c r="G15" s="42" t="s">
        <v>42</v>
      </c>
      <c r="H15" s="41"/>
      <c r="I15" s="43">
        <v>-22800</v>
      </c>
    </row>
    <row r="16" spans="1:9" ht="15.75">
      <c r="G16" s="42"/>
      <c r="H16" s="41"/>
      <c r="I16" s="44"/>
    </row>
    <row r="17" spans="1:9" ht="15.75">
      <c r="A17" s="46" t="s">
        <v>169</v>
      </c>
      <c r="B17" s="46"/>
      <c r="C17" s="41"/>
      <c r="G17" s="45" t="s">
        <v>157</v>
      </c>
      <c r="H17" s="41"/>
      <c r="I17" s="43">
        <f>SUM(I12:I15)</f>
        <v>416200</v>
      </c>
    </row>
    <row r="18" spans="1:9" ht="15.75">
      <c r="A18" s="42" t="s">
        <v>170</v>
      </c>
      <c r="B18" s="41"/>
      <c r="C18" s="43">
        <v>680800</v>
      </c>
      <c r="G18" s="45"/>
      <c r="H18" s="41"/>
      <c r="I18" s="44"/>
    </row>
    <row r="19" spans="1:9" ht="15.75">
      <c r="A19" s="45" t="s">
        <v>171</v>
      </c>
      <c r="B19" s="41"/>
      <c r="C19" s="43">
        <f>SUM(C11:C18)</f>
        <v>814500</v>
      </c>
    </row>
    <row r="21" spans="1:9" ht="15.75">
      <c r="A21" s="45" t="s">
        <v>172</v>
      </c>
      <c r="B21" s="41"/>
      <c r="C21" s="43">
        <f>SUM(C19,C7)</f>
        <v>1038500</v>
      </c>
    </row>
    <row r="23" spans="1:9" ht="15.75">
      <c r="A23" s="45" t="s">
        <v>173</v>
      </c>
      <c r="B23" s="41"/>
      <c r="C23" s="41"/>
    </row>
    <row r="24" spans="1:9" ht="15.75">
      <c r="A24" s="45" t="s">
        <v>174</v>
      </c>
      <c r="B24" s="41"/>
      <c r="C24" s="44"/>
    </row>
    <row r="25" spans="1:9" ht="15.75">
      <c r="A25" s="42" t="s">
        <v>175</v>
      </c>
      <c r="B25" s="41"/>
      <c r="C25" s="43">
        <v>437500</v>
      </c>
    </row>
    <row r="26" spans="1:9" ht="15.75">
      <c r="A26" s="42" t="s">
        <v>176</v>
      </c>
      <c r="B26" s="41"/>
      <c r="C26" s="43">
        <v>-419000</v>
      </c>
    </row>
    <row r="27" spans="1:9" ht="15.75">
      <c r="A27" s="42" t="s">
        <v>157</v>
      </c>
      <c r="B27" s="41"/>
      <c r="C27" s="43">
        <v>416200</v>
      </c>
    </row>
    <row r="28" spans="1:9" ht="15.75">
      <c r="A28" s="45" t="s">
        <v>177</v>
      </c>
      <c r="B28" s="41"/>
      <c r="C28" s="43">
        <f>SUM(C25:C27)</f>
        <v>434700</v>
      </c>
    </row>
    <row r="30" spans="1:9" ht="15.75">
      <c r="A30" s="45" t="s">
        <v>178</v>
      </c>
      <c r="B30" s="41"/>
      <c r="C30" s="41"/>
    </row>
    <row r="31" spans="1:9" ht="15.75">
      <c r="A31" s="42" t="s">
        <v>179</v>
      </c>
      <c r="B31" s="41"/>
      <c r="C31" s="43">
        <v>220000</v>
      </c>
    </row>
    <row r="32" spans="1:9" ht="15.75">
      <c r="A32" s="42" t="s">
        <v>180</v>
      </c>
      <c r="B32" s="41"/>
      <c r="C32" s="43">
        <v>86100</v>
      </c>
    </row>
    <row r="33" spans="1:3" ht="15.75">
      <c r="A33" s="42" t="s">
        <v>185</v>
      </c>
      <c r="B33" s="41"/>
      <c r="C33" s="43">
        <v>113700</v>
      </c>
    </row>
    <row r="34" spans="1:3" ht="15.75">
      <c r="A34" s="42" t="s">
        <v>186</v>
      </c>
      <c r="B34" s="41"/>
      <c r="C34" s="43">
        <v>184000</v>
      </c>
    </row>
    <row r="35" spans="1:3" ht="15.75">
      <c r="A35" s="45" t="s">
        <v>182</v>
      </c>
      <c r="B35" s="41"/>
      <c r="C35" s="43">
        <f>SUM(C31:C34)</f>
        <v>603800</v>
      </c>
    </row>
    <row r="37" spans="1:3" ht="15.75">
      <c r="A37" s="45" t="s">
        <v>183</v>
      </c>
      <c r="B37" s="41"/>
      <c r="C37" s="43">
        <f>SUM(C35,C28)</f>
        <v>1038500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K26" sqref="K26"/>
    </sheetView>
  </sheetViews>
  <sheetFormatPr defaultRowHeight="15"/>
  <cols>
    <col min="1" max="1" width="24.140625" customWidth="1"/>
    <col min="4" max="4" width="26.42578125" customWidth="1"/>
    <col min="5" max="5" width="21.5703125" customWidth="1"/>
    <col min="7" max="7" width="9.140625" customWidth="1"/>
  </cols>
  <sheetData>
    <row r="1" spans="1:5" ht="15.75">
      <c r="A1" s="47" t="s">
        <v>189</v>
      </c>
      <c r="B1" s="48"/>
      <c r="C1" s="24"/>
      <c r="D1" s="24"/>
      <c r="E1" s="49"/>
    </row>
    <row r="2" spans="1:5">
      <c r="A2" s="183" t="s">
        <v>190</v>
      </c>
      <c r="B2" s="184"/>
      <c r="C2" s="50"/>
      <c r="D2" s="185" t="s">
        <v>191</v>
      </c>
      <c r="E2" s="185"/>
    </row>
    <row r="3" spans="1:5">
      <c r="A3" s="51" t="s">
        <v>192</v>
      </c>
      <c r="B3" s="52"/>
      <c r="C3" s="53"/>
      <c r="D3" s="53" t="s">
        <v>149</v>
      </c>
      <c r="E3" s="54">
        <v>2850000</v>
      </c>
    </row>
    <row r="4" spans="1:5">
      <c r="A4" s="55" t="s">
        <v>160</v>
      </c>
      <c r="B4" s="52"/>
      <c r="C4" s="53"/>
      <c r="D4" s="53" t="s">
        <v>193</v>
      </c>
      <c r="E4" s="56">
        <v>-1570000</v>
      </c>
    </row>
    <row r="5" spans="1:5">
      <c r="A5" s="53" t="s">
        <v>194</v>
      </c>
      <c r="B5" s="57">
        <v>658000</v>
      </c>
      <c r="C5" s="53"/>
      <c r="D5" s="53" t="s">
        <v>195</v>
      </c>
      <c r="E5" s="56">
        <f>SUM(E3:E4)</f>
        <v>1280000</v>
      </c>
    </row>
    <row r="6" spans="1:5">
      <c r="A6" s="53"/>
      <c r="B6" s="52"/>
      <c r="C6" s="53"/>
      <c r="D6" s="53"/>
      <c r="E6" s="58"/>
    </row>
    <row r="7" spans="1:5">
      <c r="A7" s="55" t="s">
        <v>164</v>
      </c>
      <c r="B7" s="52"/>
      <c r="C7" s="53"/>
      <c r="D7" s="53" t="s">
        <v>196</v>
      </c>
      <c r="E7" s="56">
        <v>-150000</v>
      </c>
    </row>
    <row r="8" spans="1:5">
      <c r="A8" s="53" t="s">
        <v>165</v>
      </c>
      <c r="B8" s="57">
        <v>211000</v>
      </c>
      <c r="C8" s="53"/>
      <c r="D8" s="53" t="s">
        <v>39</v>
      </c>
      <c r="E8" s="56">
        <v>-580000</v>
      </c>
    </row>
    <row r="9" spans="1:5">
      <c r="A9" s="53" t="s">
        <v>167</v>
      </c>
      <c r="B9" s="57">
        <v>374000</v>
      </c>
      <c r="C9" s="53"/>
      <c r="D9" s="53" t="s">
        <v>197</v>
      </c>
      <c r="E9" s="56">
        <v>-40000</v>
      </c>
    </row>
    <row r="10" spans="1:5">
      <c r="A10" s="53" t="s">
        <v>170</v>
      </c>
      <c r="B10" s="57">
        <v>437000</v>
      </c>
      <c r="C10" s="53"/>
      <c r="D10" s="55" t="s">
        <v>155</v>
      </c>
      <c r="E10" s="56">
        <f>SUM(E5:E9)</f>
        <v>510000</v>
      </c>
    </row>
    <row r="11" spans="1:5">
      <c r="A11" s="55"/>
      <c r="B11" s="57">
        <f>SUM(B8:B10)</f>
        <v>1022000</v>
      </c>
      <c r="C11" s="53"/>
      <c r="D11" s="53" t="s">
        <v>156</v>
      </c>
      <c r="E11" s="56">
        <v>32000</v>
      </c>
    </row>
    <row r="12" spans="1:5">
      <c r="A12" s="53"/>
      <c r="B12" s="52"/>
      <c r="C12" s="53"/>
      <c r="D12" s="53" t="s">
        <v>42</v>
      </c>
      <c r="E12" s="56">
        <v>-97000</v>
      </c>
    </row>
    <row r="13" spans="1:5" ht="24">
      <c r="A13" s="155" t="s">
        <v>198</v>
      </c>
      <c r="B13" s="59">
        <f>SUM(B5:B10)</f>
        <v>1680000</v>
      </c>
      <c r="C13" s="53"/>
      <c r="D13" s="55" t="s">
        <v>199</v>
      </c>
      <c r="E13" s="60">
        <f>SUM(E10:E12)</f>
        <v>445000</v>
      </c>
    </row>
    <row r="14" spans="1:5">
      <c r="A14" s="53"/>
      <c r="B14" s="52"/>
      <c r="C14" s="53"/>
      <c r="D14" s="53" t="s">
        <v>200</v>
      </c>
      <c r="E14" s="56">
        <v>-125000</v>
      </c>
    </row>
    <row r="15" spans="1:5">
      <c r="A15" s="186" t="s">
        <v>201</v>
      </c>
      <c r="B15" s="186"/>
      <c r="C15" s="53"/>
      <c r="D15" s="155" t="s">
        <v>157</v>
      </c>
      <c r="E15" s="56">
        <f>SUM(E13+E14)</f>
        <v>320000</v>
      </c>
    </row>
    <row r="16" spans="1:5">
      <c r="A16" s="55" t="s">
        <v>202</v>
      </c>
      <c r="B16" s="57">
        <v>440000</v>
      </c>
      <c r="C16" s="53"/>
      <c r="D16" s="53"/>
      <c r="E16" s="58"/>
    </row>
    <row r="17" spans="1:5">
      <c r="A17" s="53"/>
      <c r="B17" s="52"/>
      <c r="C17" s="53"/>
      <c r="D17" s="192" t="s">
        <v>219</v>
      </c>
      <c r="E17" s="165"/>
    </row>
    <row r="18" spans="1:5" ht="21" customHeight="1">
      <c r="A18" s="55" t="s">
        <v>203</v>
      </c>
      <c r="B18" s="52"/>
      <c r="C18" s="53"/>
      <c r="D18" s="145" t="s">
        <v>217</v>
      </c>
      <c r="E18" s="163">
        <f>(E13+-E12)/B13</f>
        <v>0.32261904761904764</v>
      </c>
    </row>
    <row r="19" spans="1:5">
      <c r="A19" s="53" t="s">
        <v>204</v>
      </c>
      <c r="B19" s="57">
        <v>880000</v>
      </c>
      <c r="C19" s="53"/>
      <c r="D19" s="145" t="s">
        <v>212</v>
      </c>
      <c r="E19" s="163">
        <f>(E13+-E12)/E3</f>
        <v>0.19017543859649122</v>
      </c>
    </row>
    <row r="20" spans="1:5">
      <c r="A20" s="53"/>
      <c r="B20" s="52"/>
      <c r="C20" s="53"/>
      <c r="D20" s="145" t="s">
        <v>216</v>
      </c>
      <c r="E20" s="163">
        <f>(B11-B8)/B25</f>
        <v>2.2527777777777778</v>
      </c>
    </row>
    <row r="21" spans="1:5">
      <c r="A21" s="55" t="s">
        <v>205</v>
      </c>
      <c r="B21" s="52"/>
      <c r="C21" s="53"/>
      <c r="D21" s="145" t="s">
        <v>215</v>
      </c>
      <c r="E21" s="163">
        <f>B16/B27</f>
        <v>0.26190476190476192</v>
      </c>
    </row>
    <row r="22" spans="1:5" ht="24">
      <c r="A22" s="53" t="s">
        <v>180</v>
      </c>
      <c r="B22" s="57">
        <v>260000</v>
      </c>
      <c r="C22" s="53"/>
      <c r="D22" s="145" t="s">
        <v>220</v>
      </c>
      <c r="E22" s="164">
        <f>E3/B13</f>
        <v>1.6964285714285714</v>
      </c>
    </row>
    <row r="23" spans="1:5" ht="30" customHeight="1">
      <c r="A23" s="53" t="s">
        <v>181</v>
      </c>
      <c r="B23" s="57">
        <v>40000</v>
      </c>
      <c r="C23" s="53"/>
      <c r="D23" s="145" t="s">
        <v>294</v>
      </c>
      <c r="E23" s="163">
        <f>(-E8/E3)</f>
        <v>0.20350877192982456</v>
      </c>
    </row>
    <row r="24" spans="1:5">
      <c r="A24" s="53" t="s">
        <v>206</v>
      </c>
      <c r="B24" s="57">
        <v>60000</v>
      </c>
      <c r="C24" s="53"/>
      <c r="D24" s="53"/>
      <c r="E24" s="58"/>
    </row>
    <row r="25" spans="1:5">
      <c r="A25" s="53"/>
      <c r="B25" s="57">
        <f>SUM(B22:B24)</f>
        <v>360000</v>
      </c>
      <c r="C25" s="53"/>
      <c r="D25" s="53"/>
      <c r="E25" s="58"/>
    </row>
    <row r="26" spans="1:5">
      <c r="A26" s="53"/>
      <c r="B26" s="52"/>
      <c r="C26" s="53"/>
      <c r="D26" s="53"/>
      <c r="E26" s="58"/>
    </row>
    <row r="27" spans="1:5" ht="24">
      <c r="A27" s="155" t="s">
        <v>207</v>
      </c>
      <c r="B27" s="59">
        <f>SUM(B16:B24)</f>
        <v>1680000</v>
      </c>
      <c r="C27" s="53"/>
      <c r="D27" s="53"/>
      <c r="E27" s="58"/>
    </row>
    <row r="28" spans="1:5">
      <c r="A28" s="24"/>
      <c r="B28" s="48"/>
      <c r="C28" s="24"/>
      <c r="D28" s="24"/>
      <c r="E28" s="49"/>
    </row>
    <row r="29" spans="1:5">
      <c r="A29" s="24"/>
      <c r="B29" s="48"/>
      <c r="C29" s="24"/>
      <c r="D29" s="24"/>
      <c r="E29" s="49"/>
    </row>
    <row r="30" spans="1:5">
      <c r="A30" s="24"/>
      <c r="B30" s="48"/>
      <c r="C30" s="24"/>
      <c r="D30" s="24"/>
      <c r="E30" s="49"/>
    </row>
  </sheetData>
  <mergeCells count="3">
    <mergeCell ref="A2:B2"/>
    <mergeCell ref="D2:E2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25" sqref="C25"/>
    </sheetView>
  </sheetViews>
  <sheetFormatPr defaultRowHeight="15"/>
  <cols>
    <col min="1" max="1" width="24.28515625" bestFit="1" customWidth="1"/>
    <col min="4" max="4" width="24.28515625" bestFit="1" customWidth="1"/>
  </cols>
  <sheetData>
    <row r="1" spans="1:5" ht="21">
      <c r="A1" s="1" t="s">
        <v>8</v>
      </c>
      <c r="D1" s="1" t="s">
        <v>8</v>
      </c>
    </row>
    <row r="2" spans="1:5" ht="15.75">
      <c r="A2" s="9" t="s">
        <v>9</v>
      </c>
      <c r="D2" s="9" t="s">
        <v>83</v>
      </c>
    </row>
    <row r="4" spans="1:5" ht="15.75">
      <c r="A4" s="9" t="s">
        <v>10</v>
      </c>
      <c r="D4" s="9" t="s">
        <v>10</v>
      </c>
    </row>
    <row r="5" spans="1:5">
      <c r="A5" t="s">
        <v>11</v>
      </c>
      <c r="B5" s="3">
        <f>200000*1.4</f>
        <v>280000</v>
      </c>
      <c r="C5" s="5"/>
      <c r="D5" t="s">
        <v>11</v>
      </c>
      <c r="E5" s="3">
        <f>200000*1.4</f>
        <v>280000</v>
      </c>
    </row>
    <row r="6" spans="1:5">
      <c r="B6" s="5"/>
      <c r="C6" s="5"/>
      <c r="E6" s="5"/>
    </row>
    <row r="7" spans="1:5" ht="15.75">
      <c r="A7" s="9" t="s">
        <v>12</v>
      </c>
      <c r="B7" s="5"/>
      <c r="C7" s="5"/>
      <c r="D7" s="9" t="s">
        <v>12</v>
      </c>
      <c r="E7" s="5"/>
    </row>
    <row r="8" spans="1:5">
      <c r="A8" t="s">
        <v>13</v>
      </c>
      <c r="B8" s="3">
        <f>150000*0.4</f>
        <v>60000</v>
      </c>
      <c r="C8" s="5"/>
      <c r="D8" t="s">
        <v>13</v>
      </c>
      <c r="E8" s="3">
        <f>200000*0.4</f>
        <v>80000</v>
      </c>
    </row>
    <row r="9" spans="1:5">
      <c r="A9" t="s">
        <v>14</v>
      </c>
      <c r="B9" s="3">
        <f>200000*0.1</f>
        <v>20000</v>
      </c>
      <c r="C9" s="5"/>
      <c r="D9" t="s">
        <v>14</v>
      </c>
      <c r="E9" s="3">
        <f>200000*0.1</f>
        <v>20000</v>
      </c>
    </row>
    <row r="10" spans="1:5">
      <c r="A10" t="s">
        <v>15</v>
      </c>
      <c r="B10" s="3">
        <v>20000</v>
      </c>
      <c r="C10" s="5"/>
      <c r="D10" t="s">
        <v>16</v>
      </c>
      <c r="E10" s="3">
        <f>200000*0.1</f>
        <v>20000</v>
      </c>
    </row>
    <row r="11" spans="1:5">
      <c r="A11" t="s">
        <v>16</v>
      </c>
      <c r="B11" s="3">
        <f>200000*0.1</f>
        <v>20000</v>
      </c>
      <c r="C11" s="5"/>
      <c r="D11" t="s">
        <v>17</v>
      </c>
      <c r="E11" s="3">
        <f>400000/8</f>
        <v>50000</v>
      </c>
    </row>
    <row r="12" spans="1:5" ht="15.75">
      <c r="A12" t="s">
        <v>17</v>
      </c>
      <c r="B12" s="3">
        <f>100000/5</f>
        <v>20000</v>
      </c>
      <c r="C12" s="5"/>
      <c r="D12" t="s">
        <v>18</v>
      </c>
      <c r="E12" s="10">
        <f>0.08*400000</f>
        <v>32000</v>
      </c>
    </row>
    <row r="13" spans="1:5" ht="15.75">
      <c r="A13" t="s">
        <v>18</v>
      </c>
      <c r="B13" s="10">
        <f>0.08*120000</f>
        <v>9600</v>
      </c>
      <c r="C13" s="11"/>
      <c r="D13" t="s">
        <v>19</v>
      </c>
      <c r="E13" s="3">
        <f>SUM(E8:E12)</f>
        <v>202000</v>
      </c>
    </row>
    <row r="14" spans="1:5">
      <c r="A14" t="s">
        <v>19</v>
      </c>
      <c r="B14" s="3">
        <f>SUM(B8:B13)</f>
        <v>149600</v>
      </c>
      <c r="C14" s="5"/>
    </row>
    <row r="15" spans="1:5">
      <c r="B15" s="5"/>
      <c r="C15" s="5"/>
      <c r="E15" s="5"/>
    </row>
    <row r="16" spans="1:5" ht="15.75">
      <c r="A16" s="9" t="s">
        <v>20</v>
      </c>
      <c r="B16" s="3">
        <f>B5-B14</f>
        <v>130400</v>
      </c>
      <c r="C16" s="5"/>
      <c r="D16" s="9" t="s">
        <v>20</v>
      </c>
      <c r="E16" s="3">
        <f>E5-E13</f>
        <v>78000</v>
      </c>
    </row>
    <row r="17" spans="2:3">
      <c r="B17" s="5"/>
      <c r="C17" s="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34" sqref="A34"/>
    </sheetView>
  </sheetViews>
  <sheetFormatPr defaultRowHeight="15"/>
  <cols>
    <col min="1" max="1" width="62.140625" customWidth="1"/>
  </cols>
  <sheetData>
    <row r="1" spans="1:7" ht="21">
      <c r="A1" s="1" t="s">
        <v>208</v>
      </c>
      <c r="B1" s="62"/>
      <c r="C1" s="62"/>
      <c r="D1" s="62"/>
      <c r="E1" s="62"/>
      <c r="F1" s="62"/>
      <c r="G1" s="62"/>
    </row>
    <row r="2" spans="1:7" ht="15.75">
      <c r="A2" s="9" t="s">
        <v>9</v>
      </c>
      <c r="B2" s="62"/>
      <c r="C2" s="62"/>
      <c r="D2" s="62"/>
      <c r="E2" s="62"/>
      <c r="F2" s="62"/>
      <c r="G2" s="62"/>
    </row>
    <row r="3" spans="1:7" ht="15.75">
      <c r="A3" s="63"/>
      <c r="B3" s="64">
        <v>2016</v>
      </c>
      <c r="C3" s="64">
        <v>2015</v>
      </c>
      <c r="D3" s="64">
        <v>2014</v>
      </c>
      <c r="E3" s="64">
        <v>2013</v>
      </c>
      <c r="F3" s="64">
        <v>2012</v>
      </c>
      <c r="G3" s="63"/>
    </row>
    <row r="4" spans="1:7" ht="15.75">
      <c r="A4" s="63" t="s">
        <v>209</v>
      </c>
      <c r="B4" s="65">
        <v>1308.3</v>
      </c>
      <c r="C4" s="63">
        <v>982.1</v>
      </c>
      <c r="D4" s="63">
        <v>760.8</v>
      </c>
      <c r="E4" s="63">
        <v>535.20000000000005</v>
      </c>
      <c r="F4" s="63">
        <v>383.8</v>
      </c>
      <c r="G4" s="62"/>
    </row>
    <row r="5" spans="1:7" ht="15.75">
      <c r="A5" s="66" t="s">
        <v>210</v>
      </c>
      <c r="B5" s="66">
        <v>33.200000000000003</v>
      </c>
      <c r="C5" s="66">
        <v>29.1</v>
      </c>
      <c r="D5" s="66">
        <v>42.2</v>
      </c>
      <c r="E5" s="66">
        <v>39.4</v>
      </c>
      <c r="F5" s="66">
        <v>30.1</v>
      </c>
      <c r="G5" s="67"/>
    </row>
    <row r="6" spans="1:7" ht="15.75">
      <c r="A6" s="63" t="s">
        <v>211</v>
      </c>
      <c r="B6" s="63">
        <v>133.9</v>
      </c>
      <c r="C6" s="63">
        <v>99.9</v>
      </c>
      <c r="D6" s="63">
        <v>75.400000000000006</v>
      </c>
      <c r="E6" s="63">
        <v>46.4</v>
      </c>
      <c r="F6" s="63">
        <v>22.6</v>
      </c>
      <c r="G6" s="67"/>
    </row>
    <row r="7" spans="1:7" ht="15.75">
      <c r="A7" s="63" t="s">
        <v>212</v>
      </c>
      <c r="B7" s="63">
        <v>10.199999999999999</v>
      </c>
      <c r="C7" s="63">
        <v>10.199999999999999</v>
      </c>
      <c r="D7" s="63">
        <v>9.9</v>
      </c>
      <c r="E7" s="63">
        <v>8.6999999999999993</v>
      </c>
      <c r="F7" s="63">
        <v>5.9</v>
      </c>
      <c r="G7" s="63"/>
    </row>
    <row r="8" spans="1:7" ht="15.75">
      <c r="A8" s="63" t="s">
        <v>213</v>
      </c>
      <c r="B8" s="65">
        <v>1173.5</v>
      </c>
      <c r="C8" s="63">
        <v>815.4</v>
      </c>
      <c r="D8" s="63">
        <v>517</v>
      </c>
      <c r="E8" s="63">
        <v>401.1</v>
      </c>
      <c r="F8" s="63">
        <v>240.1</v>
      </c>
      <c r="G8" s="67"/>
    </row>
    <row r="9" spans="1:7" ht="15.75">
      <c r="A9" s="63" t="s">
        <v>214</v>
      </c>
      <c r="B9" s="63">
        <v>456.7</v>
      </c>
      <c r="C9" s="63">
        <v>333.2</v>
      </c>
      <c r="D9" s="63">
        <v>250.2</v>
      </c>
      <c r="E9" s="63">
        <v>207.5</v>
      </c>
      <c r="F9" s="63">
        <v>122.6</v>
      </c>
      <c r="G9" s="63"/>
    </row>
    <row r="10" spans="1:7" ht="15.75">
      <c r="A10" s="63" t="s">
        <v>215</v>
      </c>
      <c r="B10" s="63">
        <v>38.9</v>
      </c>
      <c r="C10" s="63">
        <v>40.9</v>
      </c>
      <c r="D10" s="63">
        <v>48.4</v>
      </c>
      <c r="E10" s="63">
        <v>51.7</v>
      </c>
      <c r="F10" s="63">
        <v>51.1</v>
      </c>
      <c r="G10" s="63"/>
    </row>
    <row r="11" spans="1:7" ht="15.75">
      <c r="A11" s="63" t="s">
        <v>216</v>
      </c>
      <c r="B11" s="63">
        <v>90</v>
      </c>
      <c r="C11" s="63">
        <v>120</v>
      </c>
      <c r="D11" s="63">
        <v>130</v>
      </c>
      <c r="E11" s="63">
        <v>140</v>
      </c>
      <c r="F11" s="63">
        <v>140</v>
      </c>
      <c r="G11" s="63"/>
    </row>
    <row r="12" spans="1:7" ht="15.75">
      <c r="A12" s="63" t="s">
        <v>217</v>
      </c>
      <c r="B12" s="63">
        <v>14.9</v>
      </c>
      <c r="C12" s="63">
        <v>15.4</v>
      </c>
      <c r="D12" s="63">
        <v>16.7</v>
      </c>
      <c r="E12" s="63">
        <v>14.7</v>
      </c>
      <c r="F12" s="63">
        <v>11.3</v>
      </c>
      <c r="G12" s="63"/>
    </row>
    <row r="13" spans="1:7" ht="15.75">
      <c r="A13" s="63" t="s">
        <v>218</v>
      </c>
      <c r="B13" s="68">
        <v>1041</v>
      </c>
      <c r="C13" s="63">
        <v>775</v>
      </c>
      <c r="D13" s="63">
        <v>624</v>
      </c>
      <c r="E13" s="63">
        <v>439</v>
      </c>
      <c r="F13" s="63">
        <v>322</v>
      </c>
      <c r="G13" s="63"/>
    </row>
    <row r="14" spans="1:7" ht="15.75">
      <c r="A14" s="69"/>
      <c r="B14" s="69"/>
      <c r="C14" s="69"/>
      <c r="D14" s="69"/>
      <c r="E14" s="69"/>
      <c r="F14" s="69"/>
      <c r="G14" s="69"/>
    </row>
    <row r="15" spans="1:7" ht="15.75">
      <c r="A15" s="62"/>
      <c r="B15" s="62"/>
      <c r="C15" s="62"/>
      <c r="D15" s="62"/>
      <c r="E15" s="62"/>
      <c r="F15" s="62"/>
      <c r="G15" s="62"/>
    </row>
    <row r="16" spans="1:7" ht="15.75">
      <c r="A16" s="193" t="s">
        <v>219</v>
      </c>
      <c r="B16" s="194"/>
      <c r="C16" s="194"/>
      <c r="D16" s="194"/>
      <c r="E16" s="194"/>
      <c r="F16" s="194"/>
      <c r="G16" s="62"/>
    </row>
    <row r="17" spans="1:7" ht="15.75">
      <c r="A17" s="194" t="s">
        <v>220</v>
      </c>
      <c r="B17" s="93">
        <f>SUM(B4/B8)</f>
        <v>1.1148700468683426</v>
      </c>
      <c r="C17" s="93">
        <f>SUM(C4/C8)</f>
        <v>1.2044395388766251</v>
      </c>
      <c r="D17" s="93">
        <f>SUM(D4/D8)</f>
        <v>1.4715667311411991</v>
      </c>
      <c r="E17" s="93">
        <f>SUM(E4/E8)</f>
        <v>1.3343305908750935</v>
      </c>
      <c r="F17" s="93">
        <f>SUM(F4/F8)</f>
        <v>1.5985006247396918</v>
      </c>
      <c r="G17" s="62"/>
    </row>
    <row r="18" spans="1:7" ht="15.75">
      <c r="A18" s="62"/>
      <c r="B18" s="62"/>
      <c r="C18" s="62"/>
      <c r="D18" s="62"/>
      <c r="E18" s="62"/>
      <c r="F18" s="62"/>
      <c r="G18" s="62"/>
    </row>
    <row r="19" spans="1:7" ht="15.75">
      <c r="A19" s="62"/>
      <c r="B19" s="62"/>
      <c r="C19" s="62"/>
      <c r="D19" s="62"/>
      <c r="E19" s="62"/>
      <c r="F19" s="62"/>
      <c r="G19" s="62"/>
    </row>
    <row r="20" spans="1:7" ht="15.75">
      <c r="A20" s="62"/>
      <c r="B20" s="62"/>
      <c r="C20" s="62"/>
      <c r="D20" s="62"/>
      <c r="E20" s="62"/>
      <c r="F20" s="62"/>
      <c r="G20" s="62"/>
    </row>
    <row r="21" spans="1:7" ht="15.75">
      <c r="A21" s="62"/>
      <c r="B21" s="62"/>
      <c r="C21" s="62"/>
      <c r="D21" s="62"/>
      <c r="E21" s="62"/>
      <c r="F21" s="62"/>
      <c r="G21" s="62"/>
    </row>
    <row r="22" spans="1:7" ht="15.75">
      <c r="A22" s="62"/>
      <c r="B22" s="62"/>
      <c r="C22" s="62"/>
      <c r="D22" s="62"/>
      <c r="E22" s="62"/>
      <c r="F22" s="62"/>
      <c r="G22" s="6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G20" sqref="G20"/>
    </sheetView>
  </sheetViews>
  <sheetFormatPr defaultRowHeight="15"/>
  <cols>
    <col min="1" max="1" width="43.42578125" bestFit="1" customWidth="1"/>
    <col min="2" max="2" width="13" customWidth="1"/>
    <col min="3" max="3" width="12" customWidth="1"/>
    <col min="5" max="5" width="25.28515625" customWidth="1"/>
    <col min="6" max="6" width="13" customWidth="1"/>
    <col min="7" max="7" width="14.7109375" customWidth="1"/>
  </cols>
  <sheetData>
    <row r="1" spans="1:7" ht="21">
      <c r="A1" s="70" t="s">
        <v>295</v>
      </c>
      <c r="B1" s="71"/>
      <c r="C1" s="71"/>
      <c r="D1" s="71"/>
      <c r="E1" s="71"/>
      <c r="F1" s="71"/>
      <c r="G1" s="71"/>
    </row>
    <row r="2" spans="1:7" ht="15.75">
      <c r="A2" s="72" t="s">
        <v>189</v>
      </c>
      <c r="B2" s="73"/>
      <c r="C2" s="73"/>
      <c r="D2" s="73"/>
      <c r="E2" s="73"/>
      <c r="F2" s="73"/>
      <c r="G2" s="73"/>
    </row>
    <row r="3" spans="1:7" ht="24">
      <c r="A3" s="74" t="s">
        <v>190</v>
      </c>
      <c r="B3" s="74" t="s">
        <v>221</v>
      </c>
      <c r="C3" s="75" t="s">
        <v>222</v>
      </c>
      <c r="D3" s="76"/>
      <c r="E3" s="75" t="s">
        <v>191</v>
      </c>
      <c r="F3" s="75" t="s">
        <v>223</v>
      </c>
      <c r="G3" s="75" t="s">
        <v>222</v>
      </c>
    </row>
    <row r="4" spans="1:7">
      <c r="A4" s="77" t="s">
        <v>192</v>
      </c>
      <c r="B4" s="78"/>
      <c r="C4" s="78"/>
      <c r="D4" s="79"/>
      <c r="E4" s="79" t="s">
        <v>149</v>
      </c>
      <c r="F4" s="80">
        <v>110987</v>
      </c>
      <c r="G4" s="81">
        <v>104639</v>
      </c>
    </row>
    <row r="5" spans="1:7">
      <c r="A5" s="82" t="s">
        <v>160</v>
      </c>
      <c r="B5" s="78"/>
      <c r="C5" s="78"/>
      <c r="D5" s="79"/>
      <c r="E5" s="79" t="s">
        <v>193</v>
      </c>
      <c r="F5" s="81">
        <v>-81328</v>
      </c>
      <c r="G5" s="81">
        <v>-85255</v>
      </c>
    </row>
    <row r="6" spans="1:7">
      <c r="A6" s="79" t="s">
        <v>224</v>
      </c>
      <c r="B6" s="83">
        <v>44425</v>
      </c>
      <c r="C6" s="83">
        <v>37973</v>
      </c>
      <c r="D6" s="79"/>
      <c r="E6" s="84" t="s">
        <v>195</v>
      </c>
      <c r="F6" s="83">
        <f>SUM(F4:F5)</f>
        <v>29659</v>
      </c>
      <c r="G6" s="83">
        <f>SUM(G4:G5)</f>
        <v>19384</v>
      </c>
    </row>
    <row r="7" spans="1:7">
      <c r="A7" s="79"/>
      <c r="B7" s="78"/>
      <c r="C7" s="78"/>
      <c r="D7" s="79"/>
      <c r="E7" s="79"/>
      <c r="F7" s="78"/>
      <c r="G7" s="78"/>
    </row>
    <row r="8" spans="1:7">
      <c r="A8" s="82" t="s">
        <v>164</v>
      </c>
      <c r="B8" s="78"/>
      <c r="C8" s="78"/>
      <c r="D8" s="79"/>
      <c r="E8" s="79" t="s">
        <v>196</v>
      </c>
      <c r="F8" s="81">
        <v>-1619</v>
      </c>
      <c r="G8" s="81">
        <v>-1936</v>
      </c>
    </row>
    <row r="9" spans="1:7">
      <c r="A9" s="79" t="s">
        <v>165</v>
      </c>
      <c r="B9" s="81">
        <v>19411</v>
      </c>
      <c r="C9" s="81">
        <v>19401</v>
      </c>
      <c r="D9" s="79"/>
      <c r="E9" s="79" t="s">
        <v>39</v>
      </c>
      <c r="F9" s="81">
        <v>-10673</v>
      </c>
      <c r="G9" s="81">
        <v>-9127</v>
      </c>
    </row>
    <row r="10" spans="1:7">
      <c r="A10" s="79" t="s">
        <v>167</v>
      </c>
      <c r="B10" s="81">
        <v>15837</v>
      </c>
      <c r="C10" s="81">
        <v>13945</v>
      </c>
      <c r="D10" s="79"/>
      <c r="E10" s="79" t="s">
        <v>197</v>
      </c>
      <c r="F10" s="81">
        <v>-1535</v>
      </c>
      <c r="G10" s="81">
        <v>-1293</v>
      </c>
    </row>
    <row r="11" spans="1:7">
      <c r="A11" s="79" t="s">
        <v>225</v>
      </c>
      <c r="B11" s="81">
        <v>18470</v>
      </c>
      <c r="C11" s="81">
        <v>15632</v>
      </c>
      <c r="D11" s="79"/>
      <c r="E11" s="82" t="s">
        <v>155</v>
      </c>
      <c r="F11" s="81">
        <f>SUM(F6:F10)</f>
        <v>15832</v>
      </c>
      <c r="G11" s="81">
        <f>SUM(G6:G10)</f>
        <v>7028</v>
      </c>
    </row>
    <row r="12" spans="1:7">
      <c r="A12" s="79" t="s">
        <v>171</v>
      </c>
      <c r="B12" s="83">
        <f>SUM(B9:B11)</f>
        <v>53718</v>
      </c>
      <c r="C12" s="83">
        <f>SUM(C9:C11)</f>
        <v>48978</v>
      </c>
      <c r="D12" s="79"/>
      <c r="E12" s="79" t="s">
        <v>156</v>
      </c>
      <c r="F12" s="81">
        <v>605</v>
      </c>
      <c r="G12" s="81">
        <v>126</v>
      </c>
    </row>
    <row r="13" spans="1:7">
      <c r="A13" s="79"/>
      <c r="B13" s="78"/>
      <c r="C13" s="78"/>
      <c r="D13" s="79"/>
      <c r="E13" s="79" t="s">
        <v>42</v>
      </c>
      <c r="F13" s="81">
        <v>-1783</v>
      </c>
      <c r="G13" s="81">
        <v>-1087</v>
      </c>
    </row>
    <row r="14" spans="1:7" ht="24">
      <c r="A14" s="85" t="s">
        <v>198</v>
      </c>
      <c r="B14" s="83">
        <f>SUM(B12,B6)</f>
        <v>98143</v>
      </c>
      <c r="C14" s="83">
        <f>SUM(C12,C6)</f>
        <v>86951</v>
      </c>
      <c r="D14" s="79"/>
      <c r="E14" s="82" t="s">
        <v>199</v>
      </c>
      <c r="F14" s="83">
        <f>SUM(F11:F13)</f>
        <v>14654</v>
      </c>
      <c r="G14" s="83">
        <f>SUM(G11:G13)</f>
        <v>6067</v>
      </c>
    </row>
    <row r="15" spans="1:7">
      <c r="A15" s="79"/>
      <c r="B15" s="78"/>
      <c r="C15" s="78"/>
      <c r="D15" s="79"/>
      <c r="E15" s="79" t="s">
        <v>200</v>
      </c>
      <c r="F15" s="81">
        <v>-1863</v>
      </c>
      <c r="G15" s="81">
        <v>-2258</v>
      </c>
    </row>
    <row r="16" spans="1:7">
      <c r="A16" s="187" t="s">
        <v>201</v>
      </c>
      <c r="B16" s="187"/>
      <c r="C16" s="77"/>
      <c r="D16" s="79"/>
      <c r="E16" s="82" t="s">
        <v>157</v>
      </c>
      <c r="F16" s="81">
        <f>SUM(F14:F15)</f>
        <v>12791</v>
      </c>
      <c r="G16" s="81">
        <f>SUM(G14:G15)</f>
        <v>3809</v>
      </c>
    </row>
    <row r="17" spans="1:7">
      <c r="A17" s="82" t="s">
        <v>202</v>
      </c>
      <c r="B17" s="81">
        <v>46039</v>
      </c>
      <c r="C17" s="81">
        <v>41846</v>
      </c>
      <c r="D17" s="79"/>
      <c r="E17" s="79"/>
      <c r="F17" s="78"/>
      <c r="G17" s="78"/>
    </row>
    <row r="18" spans="1:7">
      <c r="A18" s="79"/>
      <c r="B18" s="78"/>
      <c r="C18" s="78"/>
      <c r="D18" s="79"/>
      <c r="E18" s="79"/>
      <c r="F18" s="78"/>
      <c r="G18" s="78"/>
    </row>
    <row r="19" spans="1:7">
      <c r="A19" s="82" t="s">
        <v>203</v>
      </c>
      <c r="B19" s="78"/>
      <c r="C19" s="78"/>
      <c r="D19" s="79"/>
      <c r="E19" s="166" t="s">
        <v>219</v>
      </c>
      <c r="F19" s="167" t="s">
        <v>223</v>
      </c>
      <c r="G19" s="168" t="s">
        <v>222</v>
      </c>
    </row>
    <row r="20" spans="1:7" ht="30">
      <c r="A20" s="79" t="s">
        <v>204</v>
      </c>
      <c r="B20" s="81">
        <v>12258</v>
      </c>
      <c r="C20" s="81">
        <v>10605</v>
      </c>
      <c r="D20" s="79"/>
      <c r="E20" s="172" t="s">
        <v>217</v>
      </c>
      <c r="F20" s="173">
        <f>(F14+-F13)/B29</f>
        <v>0.16748010556025392</v>
      </c>
      <c r="G20" s="174">
        <f>(G14-G13)/C29</f>
        <v>8.2276224540258305E-2</v>
      </c>
    </row>
    <row r="21" spans="1:7">
      <c r="A21" s="79"/>
      <c r="B21" s="78"/>
      <c r="C21" s="78"/>
      <c r="D21" s="79"/>
      <c r="E21" s="169" t="s">
        <v>212</v>
      </c>
      <c r="F21" s="173">
        <f>(F14-F13)/F4</f>
        <v>0.14809842594177697</v>
      </c>
      <c r="G21" s="174">
        <f>(G14-G13)/G4</f>
        <v>6.836839037070308E-2</v>
      </c>
    </row>
    <row r="22" spans="1:7">
      <c r="A22" s="82" t="s">
        <v>205</v>
      </c>
      <c r="B22" s="78"/>
      <c r="C22" s="78"/>
      <c r="D22" s="79"/>
      <c r="E22" s="169" t="s">
        <v>216</v>
      </c>
      <c r="F22" s="175">
        <f>(B12-B9)/B27</f>
        <v>0.86098981077147019</v>
      </c>
      <c r="G22" s="174">
        <f>(C12-C9)/C27</f>
        <v>0.857304347826087</v>
      </c>
    </row>
    <row r="23" spans="1:7">
      <c r="A23" s="79" t="s">
        <v>204</v>
      </c>
      <c r="B23" s="81">
        <v>10190</v>
      </c>
      <c r="C23" s="81">
        <v>8671</v>
      </c>
      <c r="D23" s="79"/>
      <c r="E23" s="169" t="s">
        <v>215</v>
      </c>
      <c r="F23" s="173">
        <f>B17/B14</f>
        <v>0.46910120945966599</v>
      </c>
      <c r="G23" s="174">
        <f>C17/C14</f>
        <v>0.48125955998205888</v>
      </c>
    </row>
    <row r="24" spans="1:7" ht="30.75" customHeight="1">
      <c r="A24" s="79" t="s">
        <v>226</v>
      </c>
      <c r="B24" s="81">
        <v>1765</v>
      </c>
      <c r="C24" s="81">
        <v>1522</v>
      </c>
      <c r="D24" s="79"/>
      <c r="E24" s="172" t="s">
        <v>220</v>
      </c>
      <c r="F24" s="170">
        <f>F4/B29</f>
        <v>1.1308702607419785</v>
      </c>
      <c r="G24" s="171">
        <f>G4/C14</f>
        <v>1.2034249174822602</v>
      </c>
    </row>
    <row r="25" spans="1:7" ht="30">
      <c r="A25" s="79" t="s">
        <v>180</v>
      </c>
      <c r="B25" s="81">
        <v>14787</v>
      </c>
      <c r="C25" s="81">
        <v>10546</v>
      </c>
      <c r="D25" s="79"/>
      <c r="E25" s="172" t="s">
        <v>241</v>
      </c>
      <c r="F25" s="173">
        <f>-F9/F4</f>
        <v>9.6164415652283605E-2</v>
      </c>
      <c r="G25" s="174">
        <f>-G9/G4</f>
        <v>8.7223692886973306E-2</v>
      </c>
    </row>
    <row r="26" spans="1:7">
      <c r="A26" s="79" t="s">
        <v>227</v>
      </c>
      <c r="B26" s="81">
        <v>13104</v>
      </c>
      <c r="C26" s="81">
        <v>13761</v>
      </c>
      <c r="D26" s="79"/>
      <c r="E26" s="79"/>
      <c r="F26" s="78"/>
      <c r="G26" s="78"/>
    </row>
    <row r="27" spans="1:7">
      <c r="A27" s="79" t="s">
        <v>228</v>
      </c>
      <c r="B27" s="81">
        <f>SUM(B23:B26)</f>
        <v>39846</v>
      </c>
      <c r="C27" s="81">
        <f>SUM(C23:C26)</f>
        <v>34500</v>
      </c>
      <c r="D27" s="79"/>
      <c r="E27" s="79"/>
      <c r="F27" s="78"/>
      <c r="G27" s="78"/>
    </row>
    <row r="28" spans="1:7">
      <c r="A28" s="79"/>
      <c r="B28" s="86"/>
      <c r="C28" s="86"/>
      <c r="D28" s="79"/>
      <c r="E28" s="79"/>
      <c r="F28" s="78"/>
      <c r="G28" s="78"/>
    </row>
    <row r="29" spans="1:7">
      <c r="A29" s="82" t="s">
        <v>207</v>
      </c>
      <c r="B29" s="87">
        <f>SUM(B27,B20,B17)</f>
        <v>98143</v>
      </c>
      <c r="C29" s="87">
        <f>SUM(C27,C20,C17)</f>
        <v>86951</v>
      </c>
      <c r="D29" s="71"/>
      <c r="E29" s="71"/>
      <c r="F29" s="71"/>
      <c r="G29" s="71"/>
    </row>
    <row r="30" spans="1:7">
      <c r="A30" s="71"/>
      <c r="B30" s="88"/>
      <c r="C30" s="88"/>
      <c r="D30" s="88"/>
      <c r="E30" s="88"/>
      <c r="F30" s="88"/>
      <c r="G30" s="88"/>
    </row>
  </sheetData>
  <mergeCells count="1">
    <mergeCell ref="A16:B1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1" sqref="B21"/>
    </sheetView>
  </sheetViews>
  <sheetFormatPr defaultRowHeight="15"/>
  <cols>
    <col min="1" max="1" width="54.5703125" customWidth="1"/>
  </cols>
  <sheetData>
    <row r="1" spans="1:4" ht="21">
      <c r="A1" s="1" t="s">
        <v>296</v>
      </c>
      <c r="B1" s="62"/>
      <c r="C1" s="62"/>
      <c r="D1" s="62"/>
    </row>
    <row r="2" spans="1:4" ht="15.75">
      <c r="A2" s="9" t="s">
        <v>9</v>
      </c>
      <c r="B2" s="62"/>
      <c r="C2" s="62"/>
      <c r="D2" s="62"/>
    </row>
    <row r="3" spans="1:4" ht="15.75">
      <c r="A3" s="9"/>
      <c r="B3" s="62"/>
      <c r="C3" s="62"/>
      <c r="D3" s="62"/>
    </row>
    <row r="4" spans="1:4" ht="15.75">
      <c r="A4" s="9" t="s">
        <v>148</v>
      </c>
      <c r="B4" s="89" t="s">
        <v>229</v>
      </c>
      <c r="C4" s="89" t="s">
        <v>230</v>
      </c>
      <c r="D4" s="89" t="s">
        <v>231</v>
      </c>
    </row>
    <row r="5" spans="1:4" ht="15.75">
      <c r="A5" s="63" t="s">
        <v>232</v>
      </c>
      <c r="B5" s="68">
        <v>342322</v>
      </c>
      <c r="C5" s="68">
        <v>309642</v>
      </c>
      <c r="D5" s="68">
        <v>279969</v>
      </c>
    </row>
    <row r="6" spans="1:4" ht="15.75">
      <c r="A6" s="66" t="s">
        <v>233</v>
      </c>
      <c r="B6" s="90">
        <v>17274</v>
      </c>
      <c r="C6" s="90">
        <v>17865</v>
      </c>
      <c r="D6" s="90">
        <v>17224</v>
      </c>
    </row>
    <row r="7" spans="1:4" ht="15.75">
      <c r="A7" s="63" t="s">
        <v>234</v>
      </c>
      <c r="B7" s="68">
        <v>15722</v>
      </c>
      <c r="C7" s="68">
        <v>17394</v>
      </c>
      <c r="D7" s="68">
        <v>16628</v>
      </c>
    </row>
    <row r="8" spans="1:4" ht="15.75">
      <c r="A8" s="63" t="s">
        <v>157</v>
      </c>
      <c r="B8" s="68">
        <v>10165</v>
      </c>
      <c r="C8" s="68">
        <v>7018</v>
      </c>
      <c r="D8" s="68">
        <v>12711</v>
      </c>
    </row>
    <row r="9" spans="1:4" ht="15.75">
      <c r="A9" s="63"/>
      <c r="B9" s="68"/>
      <c r="C9" s="68"/>
      <c r="D9" s="68"/>
    </row>
    <row r="10" spans="1:4" ht="15.75">
      <c r="A10" s="91" t="s">
        <v>158</v>
      </c>
      <c r="B10" s="68"/>
      <c r="C10" s="68"/>
      <c r="D10" s="68"/>
    </row>
    <row r="11" spans="1:4" ht="15.75">
      <c r="A11" s="63" t="s">
        <v>235</v>
      </c>
      <c r="B11" s="68">
        <v>252834</v>
      </c>
      <c r="C11" s="68">
        <v>221999</v>
      </c>
      <c r="D11" s="68">
        <v>183211</v>
      </c>
    </row>
    <row r="12" spans="1:4" ht="15.75">
      <c r="A12" s="63"/>
      <c r="B12" s="68"/>
      <c r="C12" s="68"/>
      <c r="D12" s="68"/>
    </row>
    <row r="13" spans="1:4" ht="15.75">
      <c r="A13" s="91" t="s">
        <v>236</v>
      </c>
      <c r="B13" s="68"/>
      <c r="C13" s="68"/>
      <c r="D13" s="68"/>
    </row>
    <row r="14" spans="1:4" ht="15.75">
      <c r="A14" s="63" t="s">
        <v>237</v>
      </c>
      <c r="B14" s="68">
        <v>1063</v>
      </c>
      <c r="C14" s="68">
        <v>1083</v>
      </c>
      <c r="D14" s="68">
        <v>969</v>
      </c>
    </row>
    <row r="15" spans="1:4" ht="15.75">
      <c r="A15" s="63" t="s">
        <v>238</v>
      </c>
      <c r="B15" s="68">
        <v>405</v>
      </c>
      <c r="C15" s="68">
        <v>412</v>
      </c>
      <c r="D15" s="68">
        <v>382</v>
      </c>
    </row>
    <row r="16" spans="1:4" ht="15.75">
      <c r="A16" s="69" t="s">
        <v>212</v>
      </c>
      <c r="B16" s="69">
        <v>5.15</v>
      </c>
      <c r="C16" s="69">
        <v>5.87</v>
      </c>
      <c r="D16" s="69">
        <v>6.21</v>
      </c>
    </row>
    <row r="17" spans="1:4" ht="15.75">
      <c r="A17" s="69" t="s">
        <v>215</v>
      </c>
      <c r="B17" s="69">
        <v>54.16</v>
      </c>
      <c r="C17" s="69">
        <v>62.01</v>
      </c>
      <c r="D17" s="69">
        <v>68.53</v>
      </c>
    </row>
    <row r="18" spans="1:4" ht="15.75">
      <c r="A18" s="69" t="s">
        <v>216</v>
      </c>
      <c r="B18" s="69">
        <v>25.69</v>
      </c>
      <c r="C18" s="69">
        <v>69.63</v>
      </c>
      <c r="D18" s="69">
        <v>39.659999999999997</v>
      </c>
    </row>
    <row r="19" spans="1:4" ht="15.75">
      <c r="A19" s="62"/>
      <c r="B19" s="62"/>
      <c r="C19" s="62"/>
      <c r="D19" s="62"/>
    </row>
    <row r="20" spans="1:4" ht="15.75">
      <c r="A20" s="176" t="s">
        <v>219</v>
      </c>
      <c r="B20" s="177"/>
      <c r="C20" s="177"/>
      <c r="D20" s="177"/>
    </row>
    <row r="21" spans="1:4" ht="15.75">
      <c r="A21" s="177" t="s">
        <v>239</v>
      </c>
      <c r="B21" s="178">
        <f>B7/B11*100</f>
        <v>6.2183092463830025</v>
      </c>
      <c r="C21" s="178">
        <f>C7/C11*100</f>
        <v>7.8351704286956245</v>
      </c>
      <c r="D21" s="178">
        <f>D7/D11*100</f>
        <v>9.0758742651915014</v>
      </c>
    </row>
    <row r="22" spans="1:4" ht="15.75">
      <c r="A22" s="177" t="s">
        <v>220</v>
      </c>
      <c r="B22" s="179">
        <f>B5/B11</f>
        <v>1.3539397391173655</v>
      </c>
      <c r="C22" s="179">
        <f>C5/C11</f>
        <v>1.3947900666219217</v>
      </c>
      <c r="D22" s="179">
        <f>D5/D11</f>
        <v>1.5281233113732253</v>
      </c>
    </row>
    <row r="23" spans="1:4" ht="15.75">
      <c r="A23" s="177" t="s">
        <v>240</v>
      </c>
      <c r="B23" s="178">
        <f>B5/B14</f>
        <v>322.03386641580431</v>
      </c>
      <c r="C23" s="178">
        <f>C5/C14</f>
        <v>285.9113573407202</v>
      </c>
      <c r="D23" s="178">
        <f>D5/D14</f>
        <v>288.92569659442722</v>
      </c>
    </row>
    <row r="24" spans="1:4" ht="15.75">
      <c r="A24" s="177" t="s">
        <v>241</v>
      </c>
      <c r="B24" s="178">
        <f>(B23*B15)/B5*100</f>
        <v>38.099717779868293</v>
      </c>
      <c r="C24" s="178">
        <f>(C23*C15)/C5*100</f>
        <v>38.042474607571556</v>
      </c>
      <c r="D24" s="178">
        <f>(D23*D15)/D5*100</f>
        <v>39.422084623323009</v>
      </c>
    </row>
    <row r="25" spans="1:4" ht="15.75">
      <c r="A25" s="62"/>
      <c r="B25" s="62"/>
      <c r="C25" s="62"/>
      <c r="D25" s="62"/>
    </row>
    <row r="26" spans="1:4" ht="15.75">
      <c r="A26" s="62"/>
      <c r="B26" s="62"/>
      <c r="C26" s="62"/>
      <c r="D26" s="62"/>
    </row>
    <row r="27" spans="1:4" ht="15.75">
      <c r="A27" s="62"/>
      <c r="B27" s="62"/>
      <c r="C27" s="62"/>
      <c r="D27" s="6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J21" sqref="J21"/>
    </sheetView>
  </sheetViews>
  <sheetFormatPr defaultRowHeight="15"/>
  <cols>
    <col min="1" max="1" width="34.42578125" bestFit="1" customWidth="1"/>
    <col min="2" max="2" width="5.5703125" customWidth="1"/>
    <col min="3" max="3" width="12.42578125" customWidth="1"/>
    <col min="5" max="5" width="46" bestFit="1" customWidth="1"/>
  </cols>
  <sheetData>
    <row r="1" spans="1:6" ht="18.75">
      <c r="A1" s="195" t="s">
        <v>297</v>
      </c>
      <c r="B1" s="158"/>
      <c r="C1" s="161"/>
    </row>
    <row r="2" spans="1:6">
      <c r="A2" s="157" t="s">
        <v>9</v>
      </c>
      <c r="B2" s="158"/>
      <c r="C2" s="161"/>
    </row>
    <row r="3" spans="1:6">
      <c r="A3" s="157" t="s">
        <v>148</v>
      </c>
      <c r="B3" s="158"/>
      <c r="C3" s="161"/>
    </row>
    <row r="4" spans="1:6">
      <c r="A4" s="158"/>
      <c r="B4" s="158"/>
      <c r="C4" s="161"/>
    </row>
    <row r="5" spans="1:6">
      <c r="A5" s="158" t="s">
        <v>149</v>
      </c>
      <c r="B5" s="158"/>
      <c r="C5" s="160">
        <v>3428800</v>
      </c>
    </row>
    <row r="6" spans="1:6">
      <c r="A6" s="158"/>
      <c r="B6" s="158"/>
      <c r="C6" s="161"/>
    </row>
    <row r="7" spans="1:6">
      <c r="A7" s="158" t="s">
        <v>188</v>
      </c>
      <c r="B7" s="158"/>
      <c r="C7" s="160">
        <v>13000</v>
      </c>
      <c r="E7" s="198" t="s">
        <v>219</v>
      </c>
      <c r="F7" s="197"/>
    </row>
    <row r="8" spans="1:6">
      <c r="A8" s="158" t="s">
        <v>151</v>
      </c>
      <c r="B8" s="158"/>
      <c r="C8" s="160">
        <v>-928000</v>
      </c>
      <c r="E8" s="197" t="s">
        <v>217</v>
      </c>
      <c r="F8" s="199">
        <f>(C17-C15)*100/C39</f>
        <v>58.551181102362207</v>
      </c>
    </row>
    <row r="9" spans="1:6">
      <c r="A9" s="158" t="s">
        <v>196</v>
      </c>
      <c r="B9" s="158"/>
      <c r="C9" s="160">
        <v>-422100</v>
      </c>
      <c r="E9" s="197" t="s">
        <v>212</v>
      </c>
      <c r="F9" s="199">
        <f>(C17-C15)*100/C5</f>
        <v>10.843443770415305</v>
      </c>
    </row>
    <row r="10" spans="1:6">
      <c r="A10" s="158" t="s">
        <v>39</v>
      </c>
      <c r="B10" s="158"/>
      <c r="C10" s="160">
        <v>-1675900</v>
      </c>
      <c r="E10" s="197" t="s">
        <v>216</v>
      </c>
      <c r="F10" s="199">
        <f>(C37-C30)*100/(C50+C51)</f>
        <v>94.415870683321089</v>
      </c>
    </row>
    <row r="11" spans="1:6">
      <c r="A11" s="158" t="s">
        <v>154</v>
      </c>
      <c r="B11" s="158"/>
      <c r="C11" s="160">
        <v>-44000</v>
      </c>
      <c r="E11" s="197" t="s">
        <v>215</v>
      </c>
      <c r="F11" s="199">
        <f>C46/C54*100</f>
        <v>31.937007874015748</v>
      </c>
    </row>
    <row r="12" spans="1:6">
      <c r="A12" s="157" t="s">
        <v>155</v>
      </c>
      <c r="B12" s="158"/>
      <c r="C12" s="160">
        <v>371800</v>
      </c>
      <c r="E12" s="197" t="s">
        <v>220</v>
      </c>
      <c r="F12" s="199">
        <f>C5/C39</f>
        <v>5.3996850393700786</v>
      </c>
    </row>
    <row r="13" spans="1:6">
      <c r="A13" s="158"/>
      <c r="B13" s="158"/>
      <c r="C13" s="161"/>
      <c r="E13" s="197" t="s">
        <v>299</v>
      </c>
      <c r="F13" s="199">
        <f>-C10*100/C5</f>
        <v>48.877158189454036</v>
      </c>
    </row>
    <row r="14" spans="1:6">
      <c r="A14" s="158" t="s">
        <v>156</v>
      </c>
      <c r="B14" s="158"/>
      <c r="C14" s="160">
        <v>0</v>
      </c>
    </row>
    <row r="15" spans="1:6">
      <c r="A15" s="158" t="s">
        <v>42</v>
      </c>
      <c r="B15" s="158"/>
      <c r="C15" s="160">
        <v>-10200</v>
      </c>
    </row>
    <row r="16" spans="1:6">
      <c r="A16" s="158"/>
      <c r="B16" s="158"/>
      <c r="C16" s="161"/>
    </row>
    <row r="17" spans="1:3">
      <c r="A17" s="157" t="s">
        <v>157</v>
      </c>
      <c r="B17" s="158"/>
      <c r="C17" s="160">
        <v>361600</v>
      </c>
    </row>
    <row r="18" spans="1:3">
      <c r="A18" s="158"/>
      <c r="B18" s="158"/>
      <c r="C18" s="161"/>
    </row>
    <row r="19" spans="1:3">
      <c r="A19" s="158"/>
      <c r="B19" s="158"/>
      <c r="C19" s="161"/>
    </row>
    <row r="20" spans="1:3">
      <c r="A20" s="157" t="s">
        <v>158</v>
      </c>
      <c r="B20" s="158"/>
      <c r="C20" s="161"/>
    </row>
    <row r="21" spans="1:3">
      <c r="A21" s="158"/>
      <c r="B21" s="158"/>
      <c r="C21" s="161"/>
    </row>
    <row r="22" spans="1:3">
      <c r="A22" s="157" t="s">
        <v>159</v>
      </c>
      <c r="B22" s="158"/>
      <c r="C22" s="161"/>
    </row>
    <row r="23" spans="1:3">
      <c r="A23" s="157" t="s">
        <v>160</v>
      </c>
      <c r="B23" s="158"/>
      <c r="C23" s="161"/>
    </row>
    <row r="24" spans="1:3">
      <c r="A24" s="196" t="s">
        <v>161</v>
      </c>
      <c r="B24" s="158"/>
      <c r="C24" s="161"/>
    </row>
    <row r="25" spans="1:3">
      <c r="A25" s="158" t="s">
        <v>289</v>
      </c>
      <c r="B25" s="158"/>
      <c r="C25" s="160">
        <v>256000</v>
      </c>
    </row>
    <row r="26" spans="1:3">
      <c r="A26" s="157" t="s">
        <v>163</v>
      </c>
      <c r="B26" s="158"/>
      <c r="C26" s="160">
        <f>SUM(C25)</f>
        <v>256000</v>
      </c>
    </row>
    <row r="27" spans="1:3">
      <c r="A27" s="158"/>
      <c r="B27" s="158"/>
      <c r="C27" s="161"/>
    </row>
    <row r="28" spans="1:3">
      <c r="A28" s="157" t="s">
        <v>164</v>
      </c>
      <c r="B28" s="158"/>
      <c r="C28" s="161"/>
    </row>
    <row r="29" spans="1:3">
      <c r="A29" s="196" t="s">
        <v>165</v>
      </c>
      <c r="B29" s="158"/>
      <c r="C29" s="161"/>
    </row>
    <row r="30" spans="1:3">
      <c r="A30" s="158" t="s">
        <v>298</v>
      </c>
      <c r="B30" s="158"/>
      <c r="C30" s="160">
        <v>122000</v>
      </c>
    </row>
    <row r="31" spans="1:3">
      <c r="A31" s="158"/>
      <c r="B31" s="158"/>
      <c r="C31" s="161"/>
    </row>
    <row r="32" spans="1:3">
      <c r="A32" s="196" t="s">
        <v>166</v>
      </c>
      <c r="B32" s="158"/>
      <c r="C32" s="161"/>
    </row>
    <row r="33" spans="1:3">
      <c r="A33" s="158" t="s">
        <v>167</v>
      </c>
      <c r="B33" s="158"/>
      <c r="C33" s="160">
        <v>96500</v>
      </c>
    </row>
    <row r="34" spans="1:3">
      <c r="A34" s="158"/>
      <c r="B34" s="158"/>
      <c r="C34" s="161"/>
    </row>
    <row r="35" spans="1:3">
      <c r="A35" s="196" t="s">
        <v>169</v>
      </c>
      <c r="B35" s="158"/>
      <c r="C35" s="161"/>
    </row>
    <row r="36" spans="1:3">
      <c r="A36" s="158" t="s">
        <v>170</v>
      </c>
      <c r="B36" s="158"/>
      <c r="C36" s="160">
        <v>160500</v>
      </c>
    </row>
    <row r="37" spans="1:3">
      <c r="A37" s="157" t="s">
        <v>171</v>
      </c>
      <c r="B37" s="158"/>
      <c r="C37" s="160">
        <f>(C30+C33+C36)</f>
        <v>379000</v>
      </c>
    </row>
    <row r="38" spans="1:3">
      <c r="A38" s="158"/>
      <c r="B38" s="158"/>
      <c r="C38" s="161"/>
    </row>
    <row r="39" spans="1:3">
      <c r="A39" s="157" t="s">
        <v>172</v>
      </c>
      <c r="B39" s="158"/>
      <c r="C39" s="160">
        <f>(C26+C37)</f>
        <v>635000</v>
      </c>
    </row>
    <row r="40" spans="1:3">
      <c r="A40" s="158"/>
      <c r="B40" s="158"/>
      <c r="C40" s="161"/>
    </row>
    <row r="41" spans="1:3">
      <c r="A41" s="157" t="s">
        <v>173</v>
      </c>
      <c r="B41" s="158"/>
      <c r="C41" s="161"/>
    </row>
    <row r="42" spans="1:3">
      <c r="A42" s="157" t="s">
        <v>174</v>
      </c>
      <c r="B42" s="158"/>
      <c r="C42" s="161"/>
    </row>
    <row r="43" spans="1:3">
      <c r="A43" s="158" t="s">
        <v>175</v>
      </c>
      <c r="B43" s="158" t="s">
        <v>71</v>
      </c>
      <c r="C43" s="160">
        <v>221300</v>
      </c>
    </row>
    <row r="44" spans="1:3">
      <c r="A44" s="158" t="s">
        <v>176</v>
      </c>
      <c r="B44" s="158"/>
      <c r="C44" s="160">
        <v>-380100</v>
      </c>
    </row>
    <row r="45" spans="1:3">
      <c r="A45" s="158" t="s">
        <v>157</v>
      </c>
      <c r="B45" s="158"/>
      <c r="C45" s="160">
        <v>361600</v>
      </c>
    </row>
    <row r="46" spans="1:3">
      <c r="A46" s="157" t="s">
        <v>177</v>
      </c>
      <c r="B46" s="158"/>
      <c r="C46" s="160">
        <f>SUM(C43:C45)</f>
        <v>202800</v>
      </c>
    </row>
    <row r="47" spans="1:3">
      <c r="A47" s="158"/>
      <c r="B47" s="158"/>
      <c r="C47" s="161"/>
    </row>
    <row r="48" spans="1:3">
      <c r="A48" s="157" t="s">
        <v>178</v>
      </c>
      <c r="B48" s="158"/>
      <c r="C48" s="161"/>
    </row>
    <row r="49" spans="1:3">
      <c r="A49" s="158" t="s">
        <v>204</v>
      </c>
      <c r="B49" s="158"/>
      <c r="C49" s="160">
        <v>160000</v>
      </c>
    </row>
    <row r="50" spans="1:3">
      <c r="A50" s="158" t="s">
        <v>180</v>
      </c>
      <c r="B50" s="158"/>
      <c r="C50" s="160">
        <v>172000</v>
      </c>
    </row>
    <row r="51" spans="1:3">
      <c r="A51" s="158" t="s">
        <v>181</v>
      </c>
      <c r="B51" s="158"/>
      <c r="C51" s="160">
        <v>100200</v>
      </c>
    </row>
    <row r="52" spans="1:3">
      <c r="A52" s="157" t="s">
        <v>182</v>
      </c>
      <c r="B52" s="158"/>
      <c r="C52" s="160">
        <v>432200</v>
      </c>
    </row>
    <row r="53" spans="1:3">
      <c r="A53" s="158"/>
      <c r="B53" s="158"/>
      <c r="C53" s="161"/>
    </row>
    <row r="54" spans="1:3">
      <c r="A54" s="157" t="s">
        <v>183</v>
      </c>
      <c r="B54" s="158"/>
      <c r="C54" s="160">
        <f>C46+C52</f>
        <v>635000</v>
      </c>
    </row>
    <row r="55" spans="1:3">
      <c r="A55" s="158"/>
      <c r="B55" s="158"/>
      <c r="C55" s="16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G10" sqref="G10"/>
    </sheetView>
  </sheetViews>
  <sheetFormatPr defaultRowHeight="15"/>
  <cols>
    <col min="1" max="1" width="45.5703125" customWidth="1"/>
    <col min="2" max="2" width="33.140625" customWidth="1"/>
    <col min="3" max="3" width="18.28515625" customWidth="1"/>
    <col min="5" max="5" width="19" customWidth="1"/>
  </cols>
  <sheetData>
    <row r="1" spans="1:8" s="95" customFormat="1" ht="15.75">
      <c r="A1" s="9" t="s">
        <v>242</v>
      </c>
      <c r="B1" s="12"/>
      <c r="C1" s="12"/>
      <c r="D1" s="12"/>
      <c r="E1" s="12"/>
      <c r="F1" s="12"/>
      <c r="G1" s="12"/>
      <c r="H1" s="12"/>
    </row>
    <row r="2" spans="1:8" s="95" customFormat="1" ht="15.75">
      <c r="A2" s="9" t="s">
        <v>189</v>
      </c>
      <c r="B2" s="12"/>
      <c r="C2" s="12"/>
      <c r="D2" s="12"/>
      <c r="E2" s="12"/>
      <c r="F2" s="12"/>
      <c r="G2" s="12"/>
      <c r="H2" s="12"/>
    </row>
    <row r="3" spans="1:8" s="95" customFormat="1" ht="18.75">
      <c r="A3" s="97" t="s">
        <v>148</v>
      </c>
      <c r="B3" s="188" t="s">
        <v>243</v>
      </c>
      <c r="C3" s="188"/>
      <c r="D3" s="12"/>
      <c r="E3" s="12"/>
      <c r="F3" s="12"/>
      <c r="G3" s="12"/>
      <c r="H3" s="12"/>
    </row>
    <row r="4" spans="1:8" s="95" customFormat="1">
      <c r="A4" s="98"/>
      <c r="B4" s="99" t="s">
        <v>244</v>
      </c>
      <c r="C4" s="99" t="s">
        <v>245</v>
      </c>
      <c r="D4" s="12"/>
      <c r="E4" s="12"/>
      <c r="F4" s="12"/>
      <c r="G4" s="12"/>
      <c r="H4" s="12"/>
    </row>
    <row r="5" spans="1:8" s="95" customFormat="1">
      <c r="A5" s="100" t="s">
        <v>149</v>
      </c>
      <c r="B5" s="101">
        <v>50016160</v>
      </c>
      <c r="C5" s="102">
        <v>47944790</v>
      </c>
      <c r="D5" s="12"/>
      <c r="E5" s="12"/>
      <c r="F5" s="12"/>
      <c r="G5" s="12"/>
      <c r="H5" s="12"/>
    </row>
    <row r="6" spans="1:8" s="95" customFormat="1">
      <c r="A6" s="103" t="s">
        <v>246</v>
      </c>
      <c r="B6" s="101">
        <v>101182</v>
      </c>
      <c r="C6" s="102">
        <v>0</v>
      </c>
      <c r="D6" s="12"/>
      <c r="E6" s="12"/>
      <c r="F6" s="12"/>
      <c r="G6" s="12"/>
      <c r="H6" s="12"/>
    </row>
    <row r="7" spans="1:8" s="95" customFormat="1">
      <c r="A7" s="103"/>
      <c r="B7" s="104">
        <f>SUM(B5:B6)</f>
        <v>50117342</v>
      </c>
      <c r="C7" s="105">
        <f>SUM(C5:C6)</f>
        <v>47944790</v>
      </c>
      <c r="D7" s="12"/>
      <c r="E7" s="12"/>
      <c r="F7" s="12"/>
      <c r="G7" s="12"/>
      <c r="H7" s="12"/>
    </row>
    <row r="8" spans="1:8" s="95" customFormat="1">
      <c r="A8" s="106" t="s">
        <v>247</v>
      </c>
      <c r="B8" s="101"/>
      <c r="C8" s="102"/>
      <c r="D8" s="12"/>
      <c r="E8" s="99" t="s">
        <v>248</v>
      </c>
      <c r="F8" s="180" t="s">
        <v>249</v>
      </c>
      <c r="G8" s="181" t="s">
        <v>250</v>
      </c>
      <c r="H8" s="12"/>
    </row>
    <row r="9" spans="1:8" s="95" customFormat="1" ht="15.75">
      <c r="A9" s="100" t="s">
        <v>251</v>
      </c>
      <c r="B9" s="101">
        <v>-21278695</v>
      </c>
      <c r="C9" s="102">
        <v>-20687878</v>
      </c>
      <c r="D9" s="12"/>
      <c r="E9" s="177" t="s">
        <v>216</v>
      </c>
      <c r="F9" s="182">
        <f>(B58-B50)/B87*100</f>
        <v>56.252690879497578</v>
      </c>
      <c r="G9" s="182">
        <f>(C58-C50)/C87*100</f>
        <v>51.048339157439756</v>
      </c>
      <c r="H9" s="12"/>
    </row>
    <row r="10" spans="1:8" s="95" customFormat="1" ht="15.75">
      <c r="A10" s="100" t="s">
        <v>196</v>
      </c>
      <c r="B10" s="101">
        <v>-9913154</v>
      </c>
      <c r="C10" s="102">
        <v>-9193016</v>
      </c>
      <c r="D10" s="12"/>
      <c r="E10" s="177" t="s">
        <v>215</v>
      </c>
      <c r="F10" s="182">
        <f>B72/B89*100</f>
        <v>59.330670789289627</v>
      </c>
      <c r="G10" s="182">
        <f>C72/C89*100</f>
        <v>57.805085467806926</v>
      </c>
      <c r="H10" s="12"/>
    </row>
    <row r="11" spans="1:8" s="95" customFormat="1" ht="15.75">
      <c r="A11" s="100" t="s">
        <v>39</v>
      </c>
      <c r="B11" s="101">
        <v>-14166410</v>
      </c>
      <c r="C11" s="102">
        <v>-12046001</v>
      </c>
      <c r="D11" s="12"/>
      <c r="E11" s="177" t="s">
        <v>252</v>
      </c>
      <c r="F11" s="182">
        <f>(B20-B18)/B60*100</f>
        <v>3.9857514050532719</v>
      </c>
      <c r="G11" s="182">
        <f>(C23-C18)/C60*100</f>
        <v>3.3514790948797426</v>
      </c>
      <c r="H11" s="12"/>
    </row>
    <row r="12" spans="1:8" s="95" customFormat="1" ht="30">
      <c r="A12" s="107" t="s">
        <v>253</v>
      </c>
      <c r="B12" s="101">
        <v>-1920575</v>
      </c>
      <c r="C12" s="102">
        <v>-1852880</v>
      </c>
      <c r="D12" s="12"/>
      <c r="E12" s="96"/>
      <c r="F12" s="94"/>
      <c r="G12" s="12"/>
      <c r="H12" s="12"/>
    </row>
    <row r="13" spans="1:8" s="95" customFormat="1" ht="15.75">
      <c r="A13" s="107"/>
      <c r="B13" s="108">
        <f>SUM(B9:B12)</f>
        <v>-47278834</v>
      </c>
      <c r="C13" s="109">
        <f>SUM(C9:C12)</f>
        <v>-43779775</v>
      </c>
      <c r="D13" s="12"/>
      <c r="E13" s="96"/>
      <c r="F13" s="94"/>
      <c r="G13" s="12"/>
      <c r="H13" s="12"/>
    </row>
    <row r="14" spans="1:8" s="95" customFormat="1" ht="15.75">
      <c r="A14" s="200" t="s">
        <v>155</v>
      </c>
      <c r="B14" s="104">
        <f>SUM(B13,B7)</f>
        <v>2838508</v>
      </c>
      <c r="C14" s="105">
        <f>SUM(C13,C7)</f>
        <v>4165015</v>
      </c>
      <c r="D14" s="12"/>
      <c r="E14" s="96"/>
      <c r="F14" s="94"/>
      <c r="G14" s="12"/>
      <c r="H14" s="12"/>
    </row>
    <row r="15" spans="1:8" s="95" customFormat="1" ht="15.75">
      <c r="A15" s="98"/>
      <c r="B15" s="111"/>
      <c r="C15" s="102"/>
      <c r="D15" s="12"/>
      <c r="E15" s="96"/>
      <c r="F15" s="94"/>
      <c r="G15" s="12"/>
      <c r="H15" s="12"/>
    </row>
    <row r="16" spans="1:8" s="95" customFormat="1" ht="15.75">
      <c r="A16" s="112" t="s">
        <v>254</v>
      </c>
      <c r="B16" s="111"/>
      <c r="C16" s="102"/>
      <c r="D16" s="12"/>
      <c r="E16" s="96"/>
      <c r="F16" s="94"/>
      <c r="G16" s="12"/>
      <c r="H16" s="12"/>
    </row>
    <row r="17" spans="1:8" s="95" customFormat="1">
      <c r="A17" s="100" t="s">
        <v>255</v>
      </c>
      <c r="B17" s="101">
        <v>2460071</v>
      </c>
      <c r="C17" s="102">
        <v>270911</v>
      </c>
      <c r="D17" s="12"/>
      <c r="E17" s="12"/>
      <c r="F17" s="12"/>
      <c r="G17" s="12"/>
      <c r="H17" s="12"/>
    </row>
    <row r="18" spans="1:8" s="95" customFormat="1">
      <c r="A18" s="100" t="s">
        <v>42</v>
      </c>
      <c r="B18" s="101">
        <v>-2582292</v>
      </c>
      <c r="C18" s="102">
        <v>-3044502</v>
      </c>
      <c r="D18" s="12"/>
      <c r="E18" s="12"/>
      <c r="F18" s="12"/>
      <c r="G18" s="12"/>
      <c r="H18" s="12"/>
    </row>
    <row r="19" spans="1:8" s="95" customFormat="1">
      <c r="A19" s="100"/>
      <c r="B19" s="101"/>
      <c r="C19" s="102"/>
      <c r="D19" s="12"/>
      <c r="E19" s="12"/>
      <c r="F19" s="12"/>
      <c r="G19" s="12"/>
      <c r="H19" s="12"/>
    </row>
    <row r="20" spans="1:8" s="95" customFormat="1">
      <c r="A20" s="200" t="s">
        <v>199</v>
      </c>
      <c r="B20" s="104">
        <f>SUM(B14:B18)</f>
        <v>2716287</v>
      </c>
      <c r="C20" s="105">
        <f>SUM(C14:C19)</f>
        <v>1391424</v>
      </c>
      <c r="D20" s="12"/>
      <c r="E20" s="12"/>
      <c r="F20" s="12"/>
      <c r="G20" s="12"/>
      <c r="H20" s="12"/>
    </row>
    <row r="21" spans="1:8" s="95" customFormat="1">
      <c r="A21" s="100" t="s">
        <v>256</v>
      </c>
      <c r="B21" s="101">
        <v>-200000</v>
      </c>
      <c r="C21" s="102">
        <v>0</v>
      </c>
      <c r="D21" s="12"/>
      <c r="E21" s="12"/>
      <c r="F21" s="12"/>
      <c r="G21" s="12"/>
      <c r="H21" s="12"/>
    </row>
    <row r="22" spans="1:8">
      <c r="A22" s="110"/>
      <c r="B22" s="108"/>
      <c r="C22" s="109"/>
      <c r="D22" s="12"/>
      <c r="E22" s="12"/>
      <c r="F22" s="12"/>
      <c r="G22" s="12"/>
      <c r="H22" s="12"/>
    </row>
    <row r="23" spans="1:8">
      <c r="A23" s="200" t="s">
        <v>257</v>
      </c>
      <c r="B23" s="104">
        <f>SUM(B20:B21)</f>
        <v>2516287</v>
      </c>
      <c r="C23" s="105">
        <f>SUM(C20:C21)</f>
        <v>1391424</v>
      </c>
      <c r="D23" s="12"/>
      <c r="E23" s="12"/>
      <c r="F23" s="12"/>
      <c r="G23" s="12"/>
      <c r="H23" s="12"/>
    </row>
    <row r="24" spans="1:8">
      <c r="A24" s="100" t="s">
        <v>258</v>
      </c>
      <c r="B24" s="113">
        <v>0</v>
      </c>
      <c r="C24" s="102">
        <v>-330</v>
      </c>
      <c r="D24" s="12"/>
      <c r="E24" s="12"/>
      <c r="F24" s="12"/>
      <c r="G24" s="12"/>
      <c r="H24" s="12"/>
    </row>
    <row r="25" spans="1:8">
      <c r="A25" s="100" t="s">
        <v>259</v>
      </c>
      <c r="B25" s="101">
        <v>-152496</v>
      </c>
      <c r="C25" s="102">
        <v>-176163</v>
      </c>
      <c r="D25" s="12"/>
      <c r="E25" s="12"/>
      <c r="F25" s="12"/>
      <c r="G25" s="12"/>
      <c r="H25" s="12"/>
    </row>
    <row r="26" spans="1:8">
      <c r="A26" s="100"/>
      <c r="B26" s="113"/>
      <c r="C26" s="102"/>
      <c r="D26" s="12"/>
      <c r="E26" s="12"/>
      <c r="F26" s="12"/>
      <c r="G26" s="12"/>
      <c r="H26" s="12"/>
    </row>
    <row r="27" spans="1:8">
      <c r="A27" s="200" t="s">
        <v>157</v>
      </c>
      <c r="B27" s="104">
        <f>SUM(B23:B25)</f>
        <v>2363791</v>
      </c>
      <c r="C27" s="105">
        <f>SUM(C23:C25)</f>
        <v>1214931</v>
      </c>
      <c r="D27" s="12"/>
      <c r="E27" s="12"/>
      <c r="F27" s="12"/>
      <c r="G27" s="12"/>
      <c r="H27" s="12"/>
    </row>
    <row r="28" spans="1:8">
      <c r="A28" s="110"/>
      <c r="B28" s="113"/>
      <c r="C28" s="102"/>
      <c r="D28" s="12"/>
      <c r="E28" s="12"/>
      <c r="F28" s="12"/>
      <c r="G28" s="12"/>
      <c r="H28" s="12"/>
    </row>
    <row r="29" spans="1:8">
      <c r="A29" s="110"/>
      <c r="B29" s="101"/>
      <c r="C29" s="102"/>
      <c r="D29" s="12"/>
      <c r="E29" s="12"/>
      <c r="F29" s="12"/>
      <c r="G29" s="12"/>
      <c r="H29" s="12"/>
    </row>
    <row r="30" spans="1:8" ht="18.75">
      <c r="A30" s="97" t="s">
        <v>158</v>
      </c>
      <c r="B30" s="189" t="s">
        <v>243</v>
      </c>
      <c r="C30" s="190"/>
      <c r="D30" s="12"/>
      <c r="E30" s="12"/>
      <c r="F30" s="12"/>
      <c r="G30" s="12"/>
      <c r="H30" s="12"/>
    </row>
    <row r="31" spans="1:8">
      <c r="A31" s="110"/>
      <c r="B31" s="99" t="s">
        <v>260</v>
      </c>
      <c r="C31" s="114" t="s">
        <v>261</v>
      </c>
      <c r="D31" s="12"/>
      <c r="E31" s="12"/>
      <c r="F31" s="12"/>
      <c r="G31" s="12"/>
      <c r="H31" s="12"/>
    </row>
    <row r="32" spans="1:8">
      <c r="A32" s="200" t="s">
        <v>192</v>
      </c>
      <c r="B32" s="101"/>
      <c r="C32" s="102"/>
      <c r="D32" s="12"/>
      <c r="E32" s="12"/>
      <c r="F32" s="12"/>
      <c r="G32" s="12"/>
      <c r="H32" s="12"/>
    </row>
    <row r="33" spans="1:8">
      <c r="A33" s="110" t="s">
        <v>160</v>
      </c>
      <c r="B33" s="101"/>
      <c r="C33" s="102"/>
      <c r="D33" s="12"/>
      <c r="E33" s="12"/>
      <c r="F33" s="12"/>
      <c r="G33" s="12"/>
      <c r="H33" s="12"/>
    </row>
    <row r="34" spans="1:8">
      <c r="A34" s="115" t="s">
        <v>161</v>
      </c>
      <c r="B34" s="101"/>
      <c r="C34" s="102"/>
      <c r="D34" s="12"/>
      <c r="E34" s="12"/>
      <c r="F34" s="12"/>
      <c r="G34" s="12"/>
      <c r="H34" s="12"/>
    </row>
    <row r="35" spans="1:8">
      <c r="A35" s="100" t="s">
        <v>262</v>
      </c>
      <c r="B35" s="101">
        <v>120086039</v>
      </c>
      <c r="C35" s="102">
        <v>120988235</v>
      </c>
      <c r="D35" s="12"/>
      <c r="E35" s="12"/>
      <c r="F35" s="12"/>
      <c r="G35" s="12"/>
      <c r="H35" s="12"/>
    </row>
    <row r="36" spans="1:8">
      <c r="A36" s="100" t="s">
        <v>263</v>
      </c>
      <c r="B36" s="101">
        <v>1899000</v>
      </c>
      <c r="C36" s="102">
        <v>2254265</v>
      </c>
      <c r="D36" s="12"/>
      <c r="E36" s="12"/>
      <c r="F36" s="12"/>
      <c r="G36" s="12"/>
      <c r="H36" s="12"/>
    </row>
    <row r="37" spans="1:8">
      <c r="A37" s="100" t="s">
        <v>194</v>
      </c>
      <c r="B37" s="102">
        <v>2389891</v>
      </c>
      <c r="C37" s="102">
        <v>2256363</v>
      </c>
      <c r="D37" s="12"/>
      <c r="E37" s="12"/>
      <c r="F37" s="12"/>
      <c r="G37" s="12"/>
      <c r="H37" s="12"/>
    </row>
    <row r="38" spans="1:8">
      <c r="A38" s="110"/>
      <c r="B38" s="116">
        <f>SUM(B35:B37)</f>
        <v>124374930</v>
      </c>
      <c r="C38" s="117">
        <f>SUM(C35:C37)</f>
        <v>125498863</v>
      </c>
      <c r="D38" s="12"/>
      <c r="E38" s="12"/>
      <c r="F38" s="12"/>
      <c r="G38" s="12"/>
      <c r="H38" s="12"/>
    </row>
    <row r="39" spans="1:8">
      <c r="A39" s="118" t="s">
        <v>264</v>
      </c>
      <c r="B39" s="119"/>
      <c r="C39" s="119"/>
      <c r="D39" s="12"/>
      <c r="E39" s="12"/>
      <c r="F39" s="12"/>
      <c r="G39" s="12"/>
      <c r="H39" s="12"/>
    </row>
    <row r="40" spans="1:8">
      <c r="A40" s="120" t="s">
        <v>265</v>
      </c>
      <c r="B40" s="121">
        <v>0</v>
      </c>
      <c r="C40" s="121">
        <v>0</v>
      </c>
      <c r="D40" s="12"/>
      <c r="E40" s="12"/>
      <c r="F40" s="12"/>
      <c r="G40" s="12"/>
      <c r="H40" s="12"/>
    </row>
    <row r="41" spans="1:8">
      <c r="A41" s="120" t="s">
        <v>266</v>
      </c>
      <c r="B41" s="121">
        <v>0</v>
      </c>
      <c r="C41" s="121">
        <v>0</v>
      </c>
      <c r="D41" s="12"/>
      <c r="E41" s="12"/>
      <c r="F41" s="12"/>
      <c r="G41" s="12"/>
      <c r="H41" s="12"/>
    </row>
    <row r="42" spans="1:8">
      <c r="A42" s="120" t="s">
        <v>267</v>
      </c>
      <c r="B42" s="122">
        <v>2667585</v>
      </c>
      <c r="C42" s="122">
        <v>2143199</v>
      </c>
      <c r="D42" s="12"/>
      <c r="E42" s="12"/>
      <c r="F42" s="12"/>
      <c r="G42" s="12"/>
      <c r="H42" s="12"/>
    </row>
    <row r="43" spans="1:8">
      <c r="A43" s="100" t="s">
        <v>268</v>
      </c>
      <c r="B43" s="123">
        <v>166306</v>
      </c>
      <c r="C43" s="124">
        <v>154589</v>
      </c>
      <c r="D43" s="12"/>
      <c r="E43" s="12"/>
      <c r="F43" s="12"/>
      <c r="G43" s="12"/>
      <c r="H43" s="12"/>
    </row>
    <row r="44" spans="1:8">
      <c r="A44" s="100"/>
      <c r="B44" s="125">
        <f>SUM(B40:B43)</f>
        <v>2833891</v>
      </c>
      <c r="C44" s="126">
        <f>SUM(C40:C43)</f>
        <v>2297788</v>
      </c>
      <c r="D44" s="12"/>
      <c r="E44" s="12"/>
      <c r="F44" s="12"/>
      <c r="G44" s="12"/>
      <c r="H44" s="12"/>
    </row>
    <row r="45" spans="1:8">
      <c r="A45" s="110" t="s">
        <v>163</v>
      </c>
      <c r="B45" s="127">
        <f>SUM(B44,B38)</f>
        <v>127208821</v>
      </c>
      <c r="C45" s="128">
        <f>SUM(C44,C38)</f>
        <v>127796651</v>
      </c>
      <c r="D45" s="12"/>
      <c r="E45" s="12"/>
      <c r="F45" s="12"/>
      <c r="G45" s="12"/>
      <c r="H45" s="12"/>
    </row>
    <row r="46" spans="1:8">
      <c r="A46" s="98"/>
      <c r="B46" s="102"/>
      <c r="C46" s="102"/>
      <c r="D46" s="12"/>
      <c r="E46" s="12"/>
      <c r="F46" s="12"/>
      <c r="G46" s="12"/>
      <c r="H46" s="12"/>
    </row>
    <row r="47" spans="1:8">
      <c r="A47" s="110" t="s">
        <v>164</v>
      </c>
      <c r="B47" s="101"/>
      <c r="C47" s="102"/>
      <c r="D47" s="12"/>
      <c r="E47" s="12"/>
      <c r="F47" s="12"/>
      <c r="G47" s="12"/>
      <c r="H47" s="12"/>
    </row>
    <row r="48" spans="1:8">
      <c r="A48" s="115" t="s">
        <v>165</v>
      </c>
      <c r="B48" s="102"/>
      <c r="C48" s="102"/>
      <c r="D48" s="12"/>
      <c r="E48" s="12"/>
      <c r="F48" s="12"/>
      <c r="G48" s="12"/>
      <c r="H48" s="12"/>
    </row>
    <row r="49" spans="1:8">
      <c r="A49" s="100" t="s">
        <v>251</v>
      </c>
      <c r="B49" s="101">
        <v>492510</v>
      </c>
      <c r="C49" s="102">
        <v>701379</v>
      </c>
      <c r="D49" s="12"/>
      <c r="E49" s="12"/>
      <c r="F49" s="12"/>
      <c r="G49" s="12"/>
      <c r="H49" s="12"/>
    </row>
    <row r="50" spans="1:8">
      <c r="A50" s="98"/>
      <c r="B50" s="108">
        <f>SUM(B49)</f>
        <v>492510</v>
      </c>
      <c r="C50" s="109">
        <f>SUM(C49)</f>
        <v>701379</v>
      </c>
      <c r="D50" s="12"/>
      <c r="E50" s="12"/>
      <c r="F50" s="12"/>
      <c r="G50" s="12"/>
      <c r="H50" s="12"/>
    </row>
    <row r="51" spans="1:8">
      <c r="A51" s="115" t="s">
        <v>269</v>
      </c>
      <c r="B51" s="101"/>
      <c r="C51" s="102"/>
      <c r="D51" s="12"/>
      <c r="E51" s="12"/>
      <c r="F51" s="12"/>
      <c r="G51" s="12"/>
      <c r="H51" s="12"/>
    </row>
    <row r="52" spans="1:8">
      <c r="A52" s="100" t="s">
        <v>167</v>
      </c>
      <c r="B52" s="101">
        <v>2399157</v>
      </c>
      <c r="C52" s="102">
        <v>2276689</v>
      </c>
      <c r="D52" s="12"/>
      <c r="E52" s="12"/>
      <c r="F52" s="12"/>
      <c r="G52" s="12"/>
      <c r="H52" s="12"/>
    </row>
    <row r="53" spans="1:8">
      <c r="A53" s="129" t="s">
        <v>270</v>
      </c>
      <c r="B53" s="101">
        <v>369198</v>
      </c>
      <c r="C53" s="102">
        <v>39678</v>
      </c>
      <c r="D53" s="12"/>
      <c r="E53" s="12"/>
      <c r="F53" s="12"/>
      <c r="G53" s="12"/>
      <c r="H53" s="12"/>
    </row>
    <row r="54" spans="1:8">
      <c r="A54" s="129" t="s">
        <v>168</v>
      </c>
      <c r="B54" s="101">
        <v>1247834</v>
      </c>
      <c r="C54" s="102">
        <v>1332633</v>
      </c>
      <c r="D54" s="12"/>
      <c r="E54" s="12"/>
      <c r="F54" s="12"/>
      <c r="G54" s="12"/>
      <c r="H54" s="12"/>
    </row>
    <row r="55" spans="1:8">
      <c r="A55" s="129"/>
      <c r="B55" s="108">
        <f>SUM(B52:B54)</f>
        <v>4016189</v>
      </c>
      <c r="C55" s="109">
        <f>SUM(C52:C54)</f>
        <v>3649000</v>
      </c>
      <c r="D55" s="12"/>
      <c r="E55" s="12"/>
      <c r="F55" s="12"/>
      <c r="G55" s="12"/>
      <c r="H55" s="12"/>
    </row>
    <row r="56" spans="1:8">
      <c r="A56" s="115" t="s">
        <v>169</v>
      </c>
      <c r="B56" s="101"/>
      <c r="C56" s="102"/>
      <c r="D56" s="12"/>
      <c r="E56" s="12"/>
      <c r="F56" s="12"/>
      <c r="G56" s="12"/>
      <c r="H56" s="12"/>
    </row>
    <row r="57" spans="1:8">
      <c r="A57" s="100" t="s">
        <v>170</v>
      </c>
      <c r="B57" s="102">
        <v>1220500</v>
      </c>
      <c r="C57" s="102">
        <v>210233</v>
      </c>
      <c r="D57" s="12"/>
      <c r="E57" s="12"/>
      <c r="F57" s="12"/>
      <c r="G57" s="12"/>
      <c r="H57" s="12"/>
    </row>
    <row r="58" spans="1:8">
      <c r="A58" s="110" t="s">
        <v>171</v>
      </c>
      <c r="B58" s="104">
        <f>SUM(B57,B55,B49)</f>
        <v>5729199</v>
      </c>
      <c r="C58" s="105">
        <f>SUM(C57,C55,C49)</f>
        <v>4560612</v>
      </c>
      <c r="D58" s="12"/>
      <c r="E58" s="12"/>
      <c r="F58" s="12"/>
      <c r="G58" s="12"/>
      <c r="H58" s="12"/>
    </row>
    <row r="59" spans="1:8">
      <c r="A59" s="98"/>
      <c r="B59" s="101"/>
      <c r="C59" s="102"/>
      <c r="D59" s="12"/>
      <c r="E59" s="12"/>
      <c r="F59" s="12"/>
      <c r="G59" s="12"/>
      <c r="H59" s="12"/>
    </row>
    <row r="60" spans="1:8">
      <c r="A60" s="110" t="s">
        <v>172</v>
      </c>
      <c r="B60" s="104">
        <f>SUM(B58,B45)</f>
        <v>132938020</v>
      </c>
      <c r="C60" s="105">
        <f>SUM(C58,C45)</f>
        <v>132357263</v>
      </c>
      <c r="D60" s="12"/>
      <c r="E60" s="12"/>
      <c r="F60" s="12"/>
      <c r="G60" s="12"/>
      <c r="H60" s="12"/>
    </row>
    <row r="61" spans="1:8">
      <c r="A61" s="98"/>
      <c r="B61" s="101"/>
      <c r="C61" s="102"/>
      <c r="D61" s="12"/>
      <c r="E61" s="12"/>
      <c r="F61" s="12"/>
      <c r="G61" s="12"/>
      <c r="H61" s="12"/>
    </row>
    <row r="62" spans="1:8">
      <c r="A62" s="200" t="s">
        <v>201</v>
      </c>
      <c r="B62" s="101"/>
      <c r="C62" s="102"/>
      <c r="D62" s="12"/>
      <c r="E62" s="12"/>
      <c r="F62" s="12"/>
      <c r="G62" s="12"/>
      <c r="H62" s="12"/>
    </row>
    <row r="63" spans="1:8">
      <c r="A63" s="110" t="s">
        <v>174</v>
      </c>
      <c r="B63" s="102"/>
      <c r="C63" s="102"/>
      <c r="D63" s="12"/>
      <c r="E63" s="12"/>
      <c r="F63" s="12"/>
      <c r="G63" s="12"/>
      <c r="H63" s="12"/>
    </row>
    <row r="64" spans="1:8">
      <c r="A64" s="115" t="s">
        <v>271</v>
      </c>
      <c r="B64" s="102"/>
      <c r="C64" s="102"/>
      <c r="D64" s="12"/>
      <c r="E64" s="12"/>
      <c r="F64" s="12"/>
      <c r="G64" s="12"/>
      <c r="H64" s="12"/>
    </row>
    <row r="65" spans="1:8">
      <c r="A65" s="100" t="s">
        <v>272</v>
      </c>
      <c r="B65" s="101">
        <v>75894000</v>
      </c>
      <c r="C65" s="102">
        <v>75894000</v>
      </c>
      <c r="D65" s="12"/>
      <c r="E65" s="12"/>
      <c r="F65" s="12"/>
      <c r="G65" s="12"/>
      <c r="H65" s="12"/>
    </row>
    <row r="66" spans="1:8">
      <c r="A66" s="100"/>
      <c r="B66" s="109">
        <f>SUM(B65)</f>
        <v>75894000</v>
      </c>
      <c r="C66" s="109">
        <f>SUM(C65)</f>
        <v>75894000</v>
      </c>
      <c r="D66" s="12"/>
      <c r="E66" s="12"/>
      <c r="F66" s="12"/>
      <c r="G66" s="12"/>
      <c r="H66" s="12"/>
    </row>
    <row r="67" spans="1:8">
      <c r="A67" s="115" t="s">
        <v>273</v>
      </c>
      <c r="B67" s="102"/>
      <c r="C67" s="102"/>
      <c r="D67" s="12"/>
      <c r="E67" s="12"/>
      <c r="F67" s="12"/>
      <c r="G67" s="12"/>
      <c r="H67" s="12"/>
    </row>
    <row r="68" spans="1:8">
      <c r="A68" s="100" t="s">
        <v>274</v>
      </c>
      <c r="B68" s="102">
        <v>3021943</v>
      </c>
      <c r="C68" s="102">
        <v>3000978</v>
      </c>
      <c r="D68" s="12"/>
      <c r="E68" s="12"/>
      <c r="F68" s="12"/>
      <c r="G68" s="12"/>
      <c r="H68" s="12"/>
    </row>
    <row r="69" spans="1:8">
      <c r="A69" s="100" t="s">
        <v>275</v>
      </c>
      <c r="B69" s="102">
        <v>-2406714</v>
      </c>
      <c r="C69" s="102">
        <v>-3600681</v>
      </c>
      <c r="D69" s="12"/>
      <c r="E69" s="12"/>
      <c r="F69" s="12"/>
      <c r="G69" s="12"/>
      <c r="H69" s="12"/>
    </row>
    <row r="70" spans="1:8">
      <c r="A70" s="100" t="s">
        <v>276</v>
      </c>
      <c r="B70" s="102">
        <v>2363790</v>
      </c>
      <c r="C70" s="102">
        <v>1214932</v>
      </c>
      <c r="D70" s="12"/>
      <c r="E70" s="12"/>
      <c r="F70" s="12"/>
      <c r="G70" s="12"/>
      <c r="H70" s="12"/>
    </row>
    <row r="71" spans="1:8">
      <c r="A71" s="100"/>
      <c r="B71" s="109">
        <f>SUM(B68:B70)</f>
        <v>2979019</v>
      </c>
      <c r="C71" s="109">
        <f>SUM(C68:C70)</f>
        <v>615229</v>
      </c>
      <c r="D71" s="12"/>
      <c r="E71" s="12"/>
      <c r="F71" s="12"/>
      <c r="G71" s="12"/>
      <c r="H71" s="12"/>
    </row>
    <row r="72" spans="1:8">
      <c r="A72" s="110" t="s">
        <v>277</v>
      </c>
      <c r="B72" s="105">
        <f>SUM(B71,B65)</f>
        <v>78873019</v>
      </c>
      <c r="C72" s="105">
        <f>SUM(C71,C65)</f>
        <v>76509229</v>
      </c>
      <c r="D72" s="12"/>
      <c r="E72" s="12"/>
      <c r="F72" s="12"/>
      <c r="G72" s="12"/>
      <c r="H72" s="12"/>
    </row>
    <row r="73" spans="1:8">
      <c r="A73" s="110"/>
      <c r="B73" s="105"/>
      <c r="C73" s="105"/>
      <c r="D73" s="12"/>
      <c r="E73" s="12"/>
      <c r="F73" s="12"/>
      <c r="G73" s="12"/>
      <c r="H73" s="12"/>
    </row>
    <row r="74" spans="1:8">
      <c r="A74" s="110" t="s">
        <v>278</v>
      </c>
      <c r="B74" s="105"/>
      <c r="C74" s="105"/>
      <c r="D74" s="12"/>
      <c r="E74" s="12"/>
      <c r="F74" s="12"/>
      <c r="G74" s="12"/>
      <c r="H74" s="12"/>
    </row>
    <row r="75" spans="1:8">
      <c r="A75" s="100" t="s">
        <v>279</v>
      </c>
      <c r="B75" s="37">
        <v>3653329</v>
      </c>
      <c r="C75" s="37">
        <v>3275333</v>
      </c>
      <c r="D75" s="12"/>
      <c r="E75" s="12"/>
      <c r="F75" s="12"/>
      <c r="G75" s="12"/>
      <c r="H75" s="12"/>
    </row>
    <row r="76" spans="1:8">
      <c r="A76" s="110" t="s">
        <v>280</v>
      </c>
      <c r="B76" s="109">
        <f>SUM(B75)</f>
        <v>3653329</v>
      </c>
      <c r="C76" s="109">
        <f>SUM(C75)</f>
        <v>3275333</v>
      </c>
      <c r="D76" s="12"/>
      <c r="E76" s="12"/>
      <c r="F76" s="12"/>
      <c r="G76" s="12"/>
      <c r="H76" s="12"/>
    </row>
    <row r="77" spans="1:8">
      <c r="A77" s="110" t="s">
        <v>203</v>
      </c>
      <c r="B77" s="105"/>
      <c r="C77" s="105"/>
      <c r="D77" s="12"/>
      <c r="E77" s="12"/>
      <c r="F77" s="12"/>
      <c r="G77" s="12"/>
      <c r="H77" s="12"/>
    </row>
    <row r="78" spans="1:8">
      <c r="A78" s="100" t="s">
        <v>179</v>
      </c>
      <c r="B78" s="37">
        <v>37023148</v>
      </c>
      <c r="C78" s="37">
        <v>39519538</v>
      </c>
      <c r="D78" s="12"/>
      <c r="E78" s="12"/>
      <c r="F78" s="12"/>
      <c r="G78" s="12"/>
      <c r="H78" s="12"/>
    </row>
    <row r="79" spans="1:8">
      <c r="A79" s="100" t="s">
        <v>281</v>
      </c>
      <c r="B79" s="37">
        <v>4079300</v>
      </c>
      <c r="C79" s="37">
        <v>5493205</v>
      </c>
      <c r="D79" s="12"/>
      <c r="E79" s="12"/>
      <c r="F79" s="12"/>
      <c r="G79" s="12"/>
      <c r="H79" s="12"/>
    </row>
    <row r="80" spans="1:8">
      <c r="A80" s="100" t="s">
        <v>282</v>
      </c>
      <c r="B80" s="37">
        <v>0</v>
      </c>
      <c r="C80" s="37">
        <v>0</v>
      </c>
      <c r="D80" s="12"/>
      <c r="E80" s="12"/>
      <c r="F80" s="12"/>
      <c r="G80" s="12"/>
      <c r="H80" s="12"/>
    </row>
    <row r="81" spans="1:8">
      <c r="A81" s="130" t="s">
        <v>283</v>
      </c>
      <c r="B81" s="109">
        <f>SUM(B78:B80)</f>
        <v>41102448</v>
      </c>
      <c r="C81" s="109">
        <f>SUM(C78:C80)</f>
        <v>45012743</v>
      </c>
      <c r="D81" s="12"/>
      <c r="E81" s="12"/>
      <c r="F81" s="12"/>
      <c r="G81" s="12"/>
      <c r="H81" s="12"/>
    </row>
    <row r="82" spans="1:8">
      <c r="A82" s="110" t="s">
        <v>205</v>
      </c>
      <c r="B82" s="102"/>
      <c r="C82" s="102"/>
      <c r="D82" s="12"/>
      <c r="E82" s="12"/>
      <c r="F82" s="12"/>
      <c r="G82" s="12"/>
      <c r="H82" s="12"/>
    </row>
    <row r="83" spans="1:8">
      <c r="A83" s="100" t="s">
        <v>180</v>
      </c>
      <c r="B83" s="37">
        <v>490279</v>
      </c>
      <c r="C83" s="37">
        <v>395551</v>
      </c>
      <c r="D83" s="12"/>
      <c r="E83" s="12"/>
      <c r="F83" s="12"/>
      <c r="G83" s="12"/>
      <c r="H83" s="12"/>
    </row>
    <row r="84" spans="1:8">
      <c r="A84" s="100" t="s">
        <v>181</v>
      </c>
      <c r="B84" s="37">
        <v>156894</v>
      </c>
      <c r="C84" s="37">
        <v>22347</v>
      </c>
      <c r="D84" s="12"/>
      <c r="E84" s="12"/>
      <c r="F84" s="12"/>
      <c r="G84" s="12"/>
      <c r="H84" s="12"/>
    </row>
    <row r="85" spans="1:8">
      <c r="A85" s="100" t="s">
        <v>206</v>
      </c>
      <c r="B85" s="37">
        <v>5794339</v>
      </c>
      <c r="C85" s="37">
        <v>5338801</v>
      </c>
      <c r="D85" s="12"/>
      <c r="E85" s="12"/>
      <c r="F85" s="12"/>
      <c r="G85" s="12"/>
      <c r="H85" s="12"/>
    </row>
    <row r="86" spans="1:8">
      <c r="A86" s="100" t="s">
        <v>284</v>
      </c>
      <c r="B86" s="37">
        <v>2867712</v>
      </c>
      <c r="C86" s="37">
        <v>1803259</v>
      </c>
      <c r="D86" s="12"/>
      <c r="E86" s="12"/>
      <c r="F86" s="12"/>
      <c r="G86" s="12"/>
      <c r="H86" s="12"/>
    </row>
    <row r="87" spans="1:8">
      <c r="A87" s="110" t="s">
        <v>228</v>
      </c>
      <c r="B87" s="109">
        <f>SUM(B83:B86)</f>
        <v>9309224</v>
      </c>
      <c r="C87" s="109">
        <f>SUM(C83:C86)</f>
        <v>7559958</v>
      </c>
      <c r="D87" s="12"/>
      <c r="E87" s="12"/>
      <c r="F87" s="12"/>
      <c r="G87" s="12"/>
      <c r="H87" s="12"/>
    </row>
    <row r="88" spans="1:8">
      <c r="A88" s="98"/>
      <c r="B88" s="37"/>
      <c r="C88" s="37"/>
      <c r="D88" s="12"/>
      <c r="E88" s="12"/>
      <c r="F88" s="12"/>
      <c r="G88" s="12"/>
      <c r="H88" s="12"/>
    </row>
    <row r="89" spans="1:8">
      <c r="A89" s="110" t="s">
        <v>183</v>
      </c>
      <c r="B89" s="105">
        <f>SUM(B87,B81,B76,B72)</f>
        <v>132938020</v>
      </c>
      <c r="C89" s="105">
        <f>SUM(C87,C81,C76,C72)</f>
        <v>132357263</v>
      </c>
      <c r="D89" s="12"/>
      <c r="E89" s="12"/>
      <c r="F89" s="12"/>
      <c r="G89" s="12"/>
      <c r="H89" s="12"/>
    </row>
    <row r="90" spans="1:8">
      <c r="A90" s="129"/>
      <c r="B90" s="12"/>
      <c r="C90" s="12"/>
      <c r="D90" s="12"/>
      <c r="E90" s="12"/>
      <c r="F90" s="12"/>
      <c r="G90" s="12"/>
      <c r="H90" s="12"/>
    </row>
    <row r="91" spans="1:8">
      <c r="A91" s="12"/>
      <c r="B91" s="12"/>
      <c r="C91" s="12"/>
      <c r="D91" s="12"/>
      <c r="E91" s="12"/>
      <c r="F91" s="12"/>
      <c r="G91" s="12"/>
      <c r="H91" s="12"/>
    </row>
    <row r="92" spans="1:8">
      <c r="A92" s="12"/>
      <c r="B92" s="12"/>
      <c r="C92" s="12"/>
      <c r="D92" s="12"/>
      <c r="E92" s="12"/>
      <c r="F92" s="12"/>
      <c r="G92" s="12"/>
      <c r="H92" s="12"/>
    </row>
    <row r="93" spans="1:8">
      <c r="A93" s="12"/>
      <c r="B93" s="12"/>
      <c r="C93" s="12"/>
      <c r="D93" s="12"/>
      <c r="E93" s="12"/>
      <c r="F93" s="12"/>
      <c r="G93" s="12"/>
      <c r="H93" s="12"/>
    </row>
    <row r="94" spans="1:8">
      <c r="A94" s="12"/>
      <c r="B94" s="12"/>
      <c r="C94" s="12"/>
      <c r="D94" s="12"/>
      <c r="E94" s="12"/>
      <c r="F94" s="12"/>
      <c r="G94" s="12"/>
      <c r="H94" s="12"/>
    </row>
    <row r="95" spans="1:8">
      <c r="A95" s="12"/>
      <c r="B95" s="12"/>
      <c r="C95" s="12"/>
      <c r="D95" s="12"/>
      <c r="E95" s="12"/>
      <c r="F95" s="12"/>
      <c r="G95" s="12"/>
      <c r="H95" s="12"/>
    </row>
    <row r="96" spans="1:8">
      <c r="A96" s="12"/>
      <c r="B96" s="12"/>
      <c r="C96" s="12"/>
      <c r="D96" s="12"/>
      <c r="E96" s="12"/>
      <c r="F96" s="12"/>
      <c r="G96" s="12"/>
      <c r="H96" s="12"/>
    </row>
    <row r="97" spans="1:8">
      <c r="A97" s="12"/>
      <c r="B97" s="12"/>
      <c r="C97" s="12"/>
      <c r="D97" s="12"/>
      <c r="E97" s="12"/>
      <c r="F97" s="12"/>
      <c r="G97" s="12"/>
      <c r="H97" s="12"/>
    </row>
  </sheetData>
  <mergeCells count="2">
    <mergeCell ref="B3:C3"/>
    <mergeCell ref="B30:C3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G33" sqref="G33"/>
    </sheetView>
  </sheetViews>
  <sheetFormatPr defaultRowHeight="15"/>
  <cols>
    <col min="1" max="1" width="31.42578125" customWidth="1"/>
    <col min="4" max="4" width="22.28515625" customWidth="1"/>
    <col min="5" max="5" width="17.7109375" customWidth="1"/>
    <col min="7" max="7" width="40.28515625" bestFit="1" customWidth="1"/>
    <col min="8" max="8" width="18.85546875" customWidth="1"/>
  </cols>
  <sheetData>
    <row r="1" spans="1:9" ht="21">
      <c r="A1" s="131" t="s">
        <v>285</v>
      </c>
      <c r="B1" s="132"/>
      <c r="C1" s="24"/>
      <c r="D1" s="24"/>
      <c r="E1" s="133"/>
      <c r="F1" s="24"/>
      <c r="G1" s="24"/>
      <c r="H1" s="134"/>
      <c r="I1" s="24"/>
    </row>
    <row r="2" spans="1:9" ht="15.75">
      <c r="A2" s="47" t="s">
        <v>300</v>
      </c>
      <c r="B2" s="132"/>
      <c r="C2" s="24"/>
      <c r="D2" s="24"/>
      <c r="E2" s="133"/>
      <c r="F2" s="24"/>
      <c r="G2" s="25" t="s">
        <v>301</v>
      </c>
      <c r="H2" s="134"/>
      <c r="I2" s="24"/>
    </row>
    <row r="3" spans="1:9">
      <c r="A3" s="191" t="s">
        <v>286</v>
      </c>
      <c r="B3" s="191"/>
      <c r="C3" s="50"/>
      <c r="D3" s="191" t="s">
        <v>287</v>
      </c>
      <c r="E3" s="191"/>
      <c r="F3" s="24"/>
      <c r="G3" s="24"/>
      <c r="H3" s="134"/>
      <c r="I3" s="24"/>
    </row>
    <row r="4" spans="1:9">
      <c r="A4" s="61" t="s">
        <v>192</v>
      </c>
      <c r="B4" s="78"/>
      <c r="C4" s="53"/>
      <c r="D4" s="53" t="s">
        <v>149</v>
      </c>
      <c r="E4" s="135">
        <v>7275200</v>
      </c>
      <c r="F4" s="24"/>
      <c r="G4" s="24"/>
      <c r="H4" s="134"/>
      <c r="I4" s="24"/>
    </row>
    <row r="5" spans="1:9" ht="24">
      <c r="A5" s="55" t="s">
        <v>160</v>
      </c>
      <c r="B5" s="78"/>
      <c r="C5" s="53"/>
      <c r="D5" s="53" t="s">
        <v>288</v>
      </c>
      <c r="E5" s="135">
        <v>45100</v>
      </c>
      <c r="F5" s="24"/>
      <c r="G5" s="136" t="s">
        <v>219</v>
      </c>
      <c r="H5" s="92"/>
      <c r="I5" s="24"/>
    </row>
    <row r="6" spans="1:9" ht="15.75">
      <c r="A6" s="53" t="s">
        <v>161</v>
      </c>
      <c r="B6" s="78"/>
      <c r="C6" s="53"/>
      <c r="D6" s="53" t="s">
        <v>151</v>
      </c>
      <c r="E6" s="135">
        <v>-4240100</v>
      </c>
      <c r="F6" s="24"/>
      <c r="G6" s="136"/>
      <c r="H6" s="92"/>
      <c r="I6" s="24"/>
    </row>
    <row r="7" spans="1:9" ht="15.75">
      <c r="A7" s="53" t="s">
        <v>289</v>
      </c>
      <c r="B7" s="78">
        <v>255000</v>
      </c>
      <c r="C7" s="53"/>
      <c r="D7" s="53" t="s">
        <v>196</v>
      </c>
      <c r="E7" s="135">
        <v>-1150300</v>
      </c>
      <c r="F7" s="24"/>
      <c r="G7" s="137" t="s">
        <v>217</v>
      </c>
      <c r="H7" s="92">
        <f>(E13-E12)/B17*100</f>
        <v>29.429370811373545</v>
      </c>
      <c r="I7" s="138"/>
    </row>
    <row r="8" spans="1:9" ht="15.75">
      <c r="A8" s="55" t="s">
        <v>163</v>
      </c>
      <c r="B8" s="78">
        <f>SUM(B7)</f>
        <v>255000</v>
      </c>
      <c r="C8" s="53"/>
      <c r="D8" s="53" t="s">
        <v>39</v>
      </c>
      <c r="E8" s="135">
        <v>-1442600</v>
      </c>
      <c r="F8" s="24"/>
      <c r="G8" s="137" t="s">
        <v>212</v>
      </c>
      <c r="H8" s="92">
        <f>(E13-E12)/E4*100</f>
        <v>6.2170112161864965</v>
      </c>
      <c r="I8" s="24"/>
    </row>
    <row r="9" spans="1:9" ht="15.75">
      <c r="A9" s="53"/>
      <c r="B9" s="78"/>
      <c r="C9" s="53"/>
      <c r="D9" s="53" t="s">
        <v>197</v>
      </c>
      <c r="E9" s="135">
        <v>-35000</v>
      </c>
      <c r="F9" s="24"/>
      <c r="G9" s="137" t="s">
        <v>216</v>
      </c>
      <c r="H9" s="92">
        <f>(B15-B11)/(B28+B29+B30)*100</f>
        <v>199.54643112914775</v>
      </c>
      <c r="I9" s="24"/>
    </row>
    <row r="10" spans="1:9" ht="15.75">
      <c r="A10" s="55" t="s">
        <v>164</v>
      </c>
      <c r="B10" s="78"/>
      <c r="C10" s="53"/>
      <c r="D10" s="55" t="s">
        <v>155</v>
      </c>
      <c r="E10" s="135">
        <f>SUM(E4:E9)</f>
        <v>452300</v>
      </c>
      <c r="F10" s="24"/>
      <c r="G10" s="137" t="s">
        <v>215</v>
      </c>
      <c r="H10" s="139">
        <f>B24/B33*100</f>
        <v>37.608172294879303</v>
      </c>
      <c r="I10" s="24"/>
    </row>
    <row r="11" spans="1:9" ht="15.75">
      <c r="A11" s="53" t="s">
        <v>165</v>
      </c>
      <c r="B11" s="86">
        <v>446000</v>
      </c>
      <c r="C11" s="53"/>
      <c r="D11" s="53"/>
      <c r="E11" s="135"/>
      <c r="F11" s="24"/>
      <c r="G11" s="137" t="s">
        <v>220</v>
      </c>
      <c r="H11" s="93">
        <f>E4/B17</f>
        <v>4.7336846899603096</v>
      </c>
      <c r="I11" s="24"/>
    </row>
    <row r="12" spans="1:9" ht="15.75">
      <c r="A12" s="53" t="s">
        <v>167</v>
      </c>
      <c r="B12" s="78">
        <v>251000</v>
      </c>
      <c r="C12" s="53"/>
      <c r="D12" s="53" t="s">
        <v>42</v>
      </c>
      <c r="E12" s="135">
        <v>-38200</v>
      </c>
      <c r="F12" s="24"/>
      <c r="G12" s="137" t="s">
        <v>241</v>
      </c>
      <c r="H12" s="92">
        <f>1442600/E4*100</f>
        <v>19.829008137233338</v>
      </c>
      <c r="I12" s="24"/>
    </row>
    <row r="13" spans="1:9" ht="24">
      <c r="A13" s="53" t="s">
        <v>168</v>
      </c>
      <c r="B13" s="86">
        <v>14000</v>
      </c>
      <c r="C13" s="53"/>
      <c r="D13" s="140" t="s">
        <v>157</v>
      </c>
      <c r="E13" s="141">
        <f>SUM(E10:E12)</f>
        <v>414100</v>
      </c>
      <c r="F13" s="24"/>
      <c r="G13" s="142"/>
      <c r="H13" s="143"/>
      <c r="I13" s="24"/>
    </row>
    <row r="14" spans="1:9" ht="15.75">
      <c r="A14" s="53" t="s">
        <v>170</v>
      </c>
      <c r="B14" s="78">
        <v>570900</v>
      </c>
      <c r="C14" s="53"/>
      <c r="D14" s="53"/>
      <c r="E14" s="135"/>
      <c r="F14" s="24"/>
      <c r="G14" s="144"/>
      <c r="H14" s="143"/>
      <c r="I14" s="24"/>
    </row>
    <row r="15" spans="1:9">
      <c r="A15" s="55" t="s">
        <v>171</v>
      </c>
      <c r="B15" s="78">
        <f>SUM(B11:B14)</f>
        <v>1281900</v>
      </c>
      <c r="C15" s="53"/>
      <c r="D15" s="24"/>
      <c r="E15" s="135"/>
      <c r="F15" s="24"/>
      <c r="G15" s="24"/>
      <c r="H15" s="134"/>
      <c r="I15" s="24"/>
    </row>
    <row r="16" spans="1:9">
      <c r="A16" s="53"/>
      <c r="B16" s="78"/>
      <c r="C16" s="53"/>
      <c r="D16" s="24"/>
      <c r="E16" s="135"/>
      <c r="F16" s="24"/>
      <c r="G16" s="24"/>
      <c r="H16" s="134"/>
      <c r="I16" s="24"/>
    </row>
    <row r="17" spans="1:9">
      <c r="A17" s="55" t="s">
        <v>198</v>
      </c>
      <c r="B17" s="86">
        <f>SUM(B15,B8)</f>
        <v>1536900</v>
      </c>
      <c r="C17" s="53"/>
      <c r="D17" s="24"/>
      <c r="E17" s="141"/>
      <c r="F17" s="24"/>
      <c r="G17" s="24"/>
      <c r="H17" s="134"/>
      <c r="I17" s="24"/>
    </row>
    <row r="18" spans="1:9">
      <c r="A18" s="53"/>
      <c r="B18" s="78"/>
      <c r="C18" s="53"/>
      <c r="D18" s="24"/>
      <c r="E18" s="135"/>
      <c r="F18" s="24"/>
      <c r="G18" s="24"/>
      <c r="H18" s="134"/>
      <c r="I18" s="24"/>
    </row>
    <row r="19" spans="1:9">
      <c r="A19" s="186" t="s">
        <v>201</v>
      </c>
      <c r="B19" s="186"/>
      <c r="C19" s="53"/>
      <c r="D19" s="24"/>
      <c r="E19" s="135"/>
      <c r="F19" s="24"/>
      <c r="G19" s="24"/>
      <c r="H19" s="134"/>
      <c r="I19" s="24"/>
    </row>
    <row r="20" spans="1:9">
      <c r="A20" s="55" t="s">
        <v>202</v>
      </c>
      <c r="B20" s="78"/>
      <c r="C20" s="53"/>
      <c r="D20" s="53"/>
      <c r="E20" s="135"/>
      <c r="F20" s="24"/>
      <c r="G20" s="24"/>
      <c r="H20" s="134"/>
      <c r="I20" s="24"/>
    </row>
    <row r="21" spans="1:9">
      <c r="A21" s="53" t="s">
        <v>290</v>
      </c>
      <c r="B21" s="78">
        <v>570900</v>
      </c>
      <c r="C21" s="53"/>
      <c r="D21" s="53"/>
      <c r="E21" s="135"/>
      <c r="F21" s="24"/>
      <c r="G21" s="24"/>
      <c r="H21" s="134"/>
      <c r="I21" s="24"/>
    </row>
    <row r="22" spans="1:9">
      <c r="A22" s="53" t="s">
        <v>291</v>
      </c>
      <c r="B22" s="78">
        <v>-407000</v>
      </c>
      <c r="C22" s="53"/>
      <c r="D22" s="55"/>
      <c r="E22" s="135"/>
      <c r="F22" s="24"/>
      <c r="G22" s="24"/>
      <c r="H22" s="134"/>
      <c r="I22" s="24"/>
    </row>
    <row r="23" spans="1:9">
      <c r="A23" s="53" t="s">
        <v>276</v>
      </c>
      <c r="B23" s="78">
        <v>414100</v>
      </c>
      <c r="C23" s="53"/>
      <c r="D23" s="53"/>
      <c r="E23" s="135"/>
      <c r="F23" s="24"/>
      <c r="G23" s="24"/>
      <c r="H23" s="134"/>
      <c r="I23" s="24"/>
    </row>
    <row r="24" spans="1:9">
      <c r="A24" s="55" t="s">
        <v>277</v>
      </c>
      <c r="B24" s="78">
        <f>SUM(B21:B23)</f>
        <v>578000</v>
      </c>
      <c r="C24" s="53"/>
      <c r="D24" s="53"/>
      <c r="E24" s="135"/>
      <c r="F24" s="24"/>
      <c r="G24" s="24"/>
      <c r="H24" s="134"/>
      <c r="I24" s="24"/>
    </row>
    <row r="25" spans="1:9">
      <c r="A25" s="55"/>
      <c r="B25" s="78"/>
      <c r="C25" s="53"/>
      <c r="D25" s="53"/>
      <c r="E25" s="135"/>
      <c r="F25" s="24"/>
      <c r="G25" s="24"/>
      <c r="H25" s="134"/>
      <c r="I25" s="24"/>
    </row>
    <row r="26" spans="1:9">
      <c r="A26" s="55" t="s">
        <v>178</v>
      </c>
      <c r="B26" s="78"/>
      <c r="C26" s="53"/>
      <c r="D26" s="53"/>
      <c r="E26" s="135"/>
      <c r="F26" s="24"/>
      <c r="G26" s="24"/>
      <c r="H26" s="134"/>
      <c r="I26" s="24"/>
    </row>
    <row r="27" spans="1:9">
      <c r="A27" s="53" t="s">
        <v>204</v>
      </c>
      <c r="B27" s="78">
        <v>540000</v>
      </c>
      <c r="C27" s="53"/>
      <c r="D27" s="53"/>
      <c r="E27" s="135"/>
      <c r="F27" s="24"/>
      <c r="G27" s="24"/>
      <c r="H27" s="134"/>
      <c r="I27" s="24"/>
    </row>
    <row r="28" spans="1:9">
      <c r="A28" s="53" t="s">
        <v>180</v>
      </c>
      <c r="B28" s="78">
        <v>154700</v>
      </c>
      <c r="C28" s="53"/>
      <c r="D28" s="53"/>
      <c r="E28" s="135"/>
      <c r="F28" s="24"/>
      <c r="G28" s="24"/>
      <c r="H28" s="134"/>
      <c r="I28" s="24"/>
    </row>
    <row r="29" spans="1:9">
      <c r="A29" s="53" t="s">
        <v>181</v>
      </c>
      <c r="B29" s="78">
        <v>116200</v>
      </c>
      <c r="C29" s="53"/>
      <c r="D29" s="53"/>
      <c r="E29" s="135"/>
      <c r="F29" s="24"/>
      <c r="G29" s="24"/>
      <c r="H29" s="134"/>
      <c r="I29" s="24"/>
    </row>
    <row r="30" spans="1:9">
      <c r="A30" s="53" t="s">
        <v>292</v>
      </c>
      <c r="B30" s="78">
        <v>148000</v>
      </c>
      <c r="C30" s="53"/>
      <c r="D30" s="53"/>
      <c r="E30" s="135"/>
      <c r="F30" s="24"/>
      <c r="G30" s="24"/>
      <c r="H30" s="134"/>
      <c r="I30" s="24"/>
    </row>
    <row r="31" spans="1:9">
      <c r="A31" s="53" t="s">
        <v>182</v>
      </c>
      <c r="B31" s="78">
        <f>SUM(B27:B30)</f>
        <v>958900</v>
      </c>
      <c r="C31" s="53"/>
      <c r="D31" s="53"/>
      <c r="E31" s="135"/>
      <c r="F31" s="24"/>
      <c r="G31" s="24"/>
      <c r="H31" s="134"/>
      <c r="I31" s="24"/>
    </row>
    <row r="32" spans="1:9">
      <c r="A32" s="53"/>
      <c r="B32" s="78"/>
      <c r="C32" s="53"/>
      <c r="D32" s="53"/>
      <c r="E32" s="135"/>
      <c r="F32" s="24"/>
      <c r="G32" s="24"/>
      <c r="H32" s="134"/>
      <c r="I32" s="24"/>
    </row>
    <row r="33" spans="1:9">
      <c r="A33" s="55" t="s">
        <v>207</v>
      </c>
      <c r="B33" s="86">
        <f>SUM(B31,B24)</f>
        <v>1536900</v>
      </c>
      <c r="C33" s="53"/>
      <c r="D33" s="53"/>
      <c r="E33" s="135"/>
      <c r="F33" s="24"/>
      <c r="G33" s="24"/>
      <c r="H33" s="134"/>
      <c r="I33" s="24"/>
    </row>
    <row r="34" spans="1:9">
      <c r="A34" s="24"/>
      <c r="B34" s="132"/>
      <c r="C34" s="24"/>
      <c r="D34" s="24"/>
      <c r="E34" s="133"/>
      <c r="F34" s="24"/>
      <c r="G34" s="24"/>
      <c r="H34" s="134"/>
      <c r="I34" s="24"/>
    </row>
    <row r="35" spans="1:9">
      <c r="A35" s="24"/>
      <c r="B35" s="132"/>
      <c r="C35" s="24"/>
      <c r="D35" s="24"/>
      <c r="E35" s="133"/>
      <c r="F35" s="24"/>
      <c r="G35" s="24"/>
      <c r="H35" s="134"/>
      <c r="I35" s="24"/>
    </row>
  </sheetData>
  <mergeCells count="3">
    <mergeCell ref="A3:B3"/>
    <mergeCell ref="D3:E3"/>
    <mergeCell ref="A1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33" sqref="C33"/>
    </sheetView>
  </sheetViews>
  <sheetFormatPr defaultRowHeight="15"/>
  <cols>
    <col min="1" max="1" width="19.7109375" customWidth="1"/>
    <col min="4" max="4" width="22" customWidth="1"/>
    <col min="7" max="7" width="10.140625" bestFit="1" customWidth="1"/>
  </cols>
  <sheetData>
    <row r="1" spans="1:7" ht="21">
      <c r="A1" s="1" t="s">
        <v>21</v>
      </c>
    </row>
    <row r="2" spans="1:7" ht="15.75">
      <c r="A2" s="9" t="s">
        <v>9</v>
      </c>
      <c r="D2" s="9" t="s">
        <v>293</v>
      </c>
    </row>
    <row r="4" spans="1:7" ht="15.75">
      <c r="A4" s="9" t="s">
        <v>22</v>
      </c>
      <c r="B4" s="5"/>
      <c r="D4" s="9" t="s">
        <v>34</v>
      </c>
      <c r="E4" s="9" t="s">
        <v>35</v>
      </c>
      <c r="F4" s="9" t="s">
        <v>36</v>
      </c>
      <c r="G4" s="9" t="s">
        <v>37</v>
      </c>
    </row>
    <row r="5" spans="1:7" ht="15.75">
      <c r="A5" s="9" t="s">
        <v>10</v>
      </c>
      <c r="B5" s="5"/>
      <c r="D5" s="9" t="s">
        <v>10</v>
      </c>
      <c r="E5" s="5"/>
    </row>
    <row r="6" spans="1:7">
      <c r="A6" t="s">
        <v>11</v>
      </c>
      <c r="B6" s="37">
        <v>5000000</v>
      </c>
      <c r="D6" t="s">
        <v>11</v>
      </c>
      <c r="E6" s="37">
        <v>5000000</v>
      </c>
      <c r="F6" s="37">
        <v>4900000</v>
      </c>
      <c r="G6" s="146">
        <f>F6-E6</f>
        <v>-100000</v>
      </c>
    </row>
    <row r="7" spans="1:7">
      <c r="B7" s="38"/>
      <c r="E7" s="38"/>
      <c r="F7" s="38"/>
      <c r="G7" s="147"/>
    </row>
    <row r="8" spans="1:7" ht="15.75">
      <c r="A8" s="9" t="s">
        <v>12</v>
      </c>
      <c r="B8" s="38"/>
      <c r="D8" s="9" t="s">
        <v>12</v>
      </c>
      <c r="E8" s="38"/>
      <c r="F8" s="38"/>
      <c r="G8" s="147"/>
    </row>
    <row r="9" spans="1:7">
      <c r="A9" s="12" t="s">
        <v>23</v>
      </c>
      <c r="B9" s="37">
        <f>0.64*5000000</f>
        <v>3200000</v>
      </c>
      <c r="D9" s="12" t="s">
        <v>38</v>
      </c>
      <c r="E9" s="37">
        <f>0.64*5000000</f>
        <v>3200000</v>
      </c>
      <c r="F9" s="37">
        <v>3235000</v>
      </c>
      <c r="G9" s="146">
        <f t="shared" ref="G9:G17" si="0">E9-F9</f>
        <v>-35000</v>
      </c>
    </row>
    <row r="10" spans="1:7">
      <c r="A10" s="12" t="s">
        <v>24</v>
      </c>
      <c r="B10" s="37">
        <v>533000</v>
      </c>
      <c r="D10" s="12" t="s">
        <v>24</v>
      </c>
      <c r="E10" s="37">
        <v>533000</v>
      </c>
      <c r="F10" s="37">
        <v>540000</v>
      </c>
      <c r="G10" s="146">
        <f t="shared" si="0"/>
        <v>-7000</v>
      </c>
    </row>
    <row r="11" spans="1:7">
      <c r="A11" s="12" t="s">
        <v>25</v>
      </c>
      <c r="B11" s="37">
        <f>0.4*533000</f>
        <v>213200</v>
      </c>
      <c r="D11" s="12" t="s">
        <v>25</v>
      </c>
      <c r="E11" s="37">
        <f>0.4*533000</f>
        <v>213200</v>
      </c>
      <c r="F11" s="37">
        <v>216000</v>
      </c>
      <c r="G11" s="146">
        <f t="shared" si="0"/>
        <v>-2800</v>
      </c>
    </row>
    <row r="12" spans="1:7">
      <c r="A12" s="12" t="s">
        <v>26</v>
      </c>
      <c r="B12" s="37">
        <f>1.04*180000</f>
        <v>187200</v>
      </c>
      <c r="D12" s="12" t="s">
        <v>26</v>
      </c>
      <c r="E12" s="37">
        <f>1.04*180000</f>
        <v>187200</v>
      </c>
      <c r="F12" s="37">
        <v>187000</v>
      </c>
      <c r="G12" s="146">
        <f t="shared" si="0"/>
        <v>200</v>
      </c>
    </row>
    <row r="13" spans="1:7">
      <c r="A13" s="12" t="s">
        <v>27</v>
      </c>
      <c r="B13" s="37">
        <f>1.03*26000</f>
        <v>26780</v>
      </c>
      <c r="D13" s="12" t="s">
        <v>27</v>
      </c>
      <c r="E13" s="37">
        <f>1.03*26000</f>
        <v>26780</v>
      </c>
      <c r="F13" s="37">
        <v>30000</v>
      </c>
      <c r="G13" s="146">
        <f t="shared" si="0"/>
        <v>-3220</v>
      </c>
    </row>
    <row r="14" spans="1:7">
      <c r="A14" s="12" t="s">
        <v>28</v>
      </c>
      <c r="B14" s="37">
        <f>1.03*28000</f>
        <v>28840</v>
      </c>
      <c r="D14" s="12" t="s">
        <v>28</v>
      </c>
      <c r="E14" s="37">
        <f>1.03*28000</f>
        <v>28840</v>
      </c>
      <c r="F14" s="37">
        <v>35000</v>
      </c>
      <c r="G14" s="146">
        <f t="shared" si="0"/>
        <v>-6160</v>
      </c>
    </row>
    <row r="15" spans="1:7">
      <c r="A15" s="12" t="s">
        <v>29</v>
      </c>
      <c r="B15" s="37">
        <f>1.03*140000</f>
        <v>144200</v>
      </c>
      <c r="D15" s="12" t="s">
        <v>29</v>
      </c>
      <c r="E15" s="37">
        <f>1.03*140000</f>
        <v>144200</v>
      </c>
      <c r="F15" s="37">
        <v>150000</v>
      </c>
      <c r="G15" s="146">
        <f t="shared" si="0"/>
        <v>-5800</v>
      </c>
    </row>
    <row r="16" spans="1:7">
      <c r="A16" s="12" t="s">
        <v>30</v>
      </c>
      <c r="B16" s="37">
        <f>150000+220000/5</f>
        <v>194000</v>
      </c>
      <c r="D16" s="12" t="s">
        <v>30</v>
      </c>
      <c r="E16" s="37">
        <f>150000+220000/5</f>
        <v>194000</v>
      </c>
      <c r="F16" s="37">
        <v>194000</v>
      </c>
      <c r="G16" s="146">
        <f t="shared" si="0"/>
        <v>0</v>
      </c>
    </row>
    <row r="17" spans="1:7">
      <c r="A17" s="12" t="s">
        <v>31</v>
      </c>
      <c r="B17" s="23">
        <f>70000+200000*0.1/2+180000*0.1/2</f>
        <v>89000</v>
      </c>
      <c r="D17" s="12" t="s">
        <v>31</v>
      </c>
      <c r="E17" s="23">
        <f>70000+200000*0.1/2+180000*0.1/2</f>
        <v>89000</v>
      </c>
      <c r="F17" s="23">
        <v>90000</v>
      </c>
      <c r="G17" s="149">
        <f t="shared" si="0"/>
        <v>-1000</v>
      </c>
    </row>
    <row r="18" spans="1:7">
      <c r="A18" s="12" t="s">
        <v>19</v>
      </c>
      <c r="B18" s="37">
        <f>SUM(B9:B17)</f>
        <v>4616220</v>
      </c>
      <c r="D18" s="12" t="s">
        <v>19</v>
      </c>
      <c r="E18" s="37">
        <f>SUM(E9:E17)</f>
        <v>4616220</v>
      </c>
      <c r="F18" s="37">
        <f>SUM(F9:F17)</f>
        <v>4677000</v>
      </c>
      <c r="G18" s="146">
        <f>SUM(G9:G17)</f>
        <v>-60780</v>
      </c>
    </row>
    <row r="19" spans="1:7" ht="15.75">
      <c r="A19" s="9"/>
      <c r="B19" s="38"/>
      <c r="D19" s="9"/>
      <c r="E19" s="38"/>
      <c r="F19" s="38"/>
      <c r="G19" s="147"/>
    </row>
    <row r="20" spans="1:7" ht="15.75">
      <c r="A20" s="9" t="s">
        <v>32</v>
      </c>
      <c r="B20" s="37">
        <f>B6-B18</f>
        <v>383780</v>
      </c>
      <c r="D20" s="9" t="s">
        <v>32</v>
      </c>
      <c r="E20" s="37">
        <f>E6-E18</f>
        <v>383780</v>
      </c>
      <c r="F20" s="37">
        <f>F6-F18</f>
        <v>223000</v>
      </c>
      <c r="G20" s="146">
        <f>F20-E20</f>
        <v>-160780</v>
      </c>
    </row>
    <row r="21" spans="1:7">
      <c r="B21" s="5"/>
    </row>
    <row r="22" spans="1:7">
      <c r="B22" s="5"/>
    </row>
    <row r="23" spans="1:7">
      <c r="B23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D9" sqref="D9"/>
    </sheetView>
  </sheetViews>
  <sheetFormatPr defaultRowHeight="15"/>
  <cols>
    <col min="1" max="1" width="23.5703125" customWidth="1"/>
    <col min="2" max="2" width="11.85546875" customWidth="1"/>
    <col min="3" max="3" width="14" customWidth="1"/>
    <col min="4" max="4" width="10.85546875" customWidth="1"/>
  </cols>
  <sheetData>
    <row r="1" spans="1:5" ht="21">
      <c r="A1" s="1" t="s">
        <v>33</v>
      </c>
      <c r="B1" s="9"/>
      <c r="C1" s="9"/>
    </row>
    <row r="2" spans="1:5" ht="15.75">
      <c r="A2" s="9" t="s">
        <v>9</v>
      </c>
    </row>
    <row r="4" spans="1:5" ht="15.75">
      <c r="A4" s="9" t="s">
        <v>34</v>
      </c>
      <c r="B4" s="13" t="s">
        <v>35</v>
      </c>
      <c r="C4" s="13" t="s">
        <v>36</v>
      </c>
      <c r="D4" s="13" t="s">
        <v>37</v>
      </c>
    </row>
    <row r="5" spans="1:5" ht="15.75">
      <c r="A5" s="9" t="s">
        <v>10</v>
      </c>
    </row>
    <row r="6" spans="1:5">
      <c r="A6" t="s">
        <v>11</v>
      </c>
      <c r="B6" s="37">
        <v>3400000</v>
      </c>
      <c r="C6" s="37">
        <v>3640000</v>
      </c>
      <c r="D6" s="150">
        <f>C6-B6</f>
        <v>240000</v>
      </c>
      <c r="E6" s="5"/>
    </row>
    <row r="7" spans="1:5">
      <c r="B7" s="38"/>
      <c r="C7" s="38"/>
      <c r="D7" s="147"/>
      <c r="E7" s="5"/>
    </row>
    <row r="8" spans="1:5" ht="15.75">
      <c r="A8" s="9" t="s">
        <v>12</v>
      </c>
      <c r="B8" s="38"/>
      <c r="C8" s="38"/>
      <c r="D8" s="147"/>
      <c r="E8" s="5"/>
    </row>
    <row r="9" spans="1:5">
      <c r="A9" t="s">
        <v>38</v>
      </c>
      <c r="B9" s="37">
        <v>1625000</v>
      </c>
      <c r="C9" s="37">
        <v>1840000</v>
      </c>
      <c r="D9" s="146">
        <f>B9-C9</f>
        <v>-215000</v>
      </c>
      <c r="E9" s="5"/>
    </row>
    <row r="10" spans="1:5">
      <c r="A10" t="s">
        <v>39</v>
      </c>
      <c r="B10" s="37">
        <v>912000</v>
      </c>
      <c r="C10" s="37">
        <v>951000</v>
      </c>
      <c r="D10" s="146">
        <f t="shared" ref="D10:D16" si="0">B10-C10</f>
        <v>-39000</v>
      </c>
      <c r="E10" s="5"/>
    </row>
    <row r="11" spans="1:5">
      <c r="A11" t="s">
        <v>26</v>
      </c>
      <c r="B11" s="37">
        <v>190000</v>
      </c>
      <c r="C11" s="37">
        <v>198000</v>
      </c>
      <c r="D11" s="146">
        <f t="shared" si="0"/>
        <v>-8000</v>
      </c>
      <c r="E11" s="5"/>
    </row>
    <row r="12" spans="1:5">
      <c r="A12" t="s">
        <v>17</v>
      </c>
      <c r="B12" s="37">
        <v>100000</v>
      </c>
      <c r="C12" s="37">
        <v>100000</v>
      </c>
      <c r="D12" s="146">
        <f t="shared" si="0"/>
        <v>0</v>
      </c>
      <c r="E12" s="5"/>
    </row>
    <row r="13" spans="1:5">
      <c r="A13" t="s">
        <v>31</v>
      </c>
      <c r="B13" s="37">
        <v>45000</v>
      </c>
      <c r="C13" s="37">
        <v>40000</v>
      </c>
      <c r="D13" s="148">
        <f>B13-C13</f>
        <v>5000</v>
      </c>
      <c r="E13" s="5"/>
    </row>
    <row r="14" spans="1:5">
      <c r="A14" t="s">
        <v>40</v>
      </c>
      <c r="B14" s="23">
        <v>140000</v>
      </c>
      <c r="C14" s="23">
        <v>170000</v>
      </c>
      <c r="D14" s="149">
        <f t="shared" si="0"/>
        <v>-30000</v>
      </c>
      <c r="E14" s="5"/>
    </row>
    <row r="15" spans="1:5">
      <c r="B15" s="147"/>
      <c r="C15" s="147"/>
      <c r="D15" s="147"/>
      <c r="E15" s="5"/>
    </row>
    <row r="16" spans="1:5">
      <c r="A16" t="s">
        <v>19</v>
      </c>
      <c r="B16" s="146">
        <f>SUM(B9:B15)</f>
        <v>3012000</v>
      </c>
      <c r="C16" s="146">
        <f>SUM(C9:C15)</f>
        <v>3299000</v>
      </c>
      <c r="D16" s="146">
        <f t="shared" si="0"/>
        <v>-287000</v>
      </c>
      <c r="E16" s="5"/>
    </row>
    <row r="17" spans="1:5">
      <c r="B17" s="38"/>
      <c r="C17" s="38"/>
      <c r="D17" s="38"/>
      <c r="E17" s="5"/>
    </row>
    <row r="18" spans="1:5" ht="15.75">
      <c r="A18" s="9" t="s">
        <v>32</v>
      </c>
      <c r="B18" s="146">
        <f>B6-B16</f>
        <v>388000</v>
      </c>
      <c r="C18" s="146">
        <f t="shared" ref="C18" si="1">C6-C16</f>
        <v>341000</v>
      </c>
      <c r="D18" s="146">
        <f>C18-B18</f>
        <v>-47000</v>
      </c>
      <c r="E18" s="5"/>
    </row>
    <row r="19" spans="1:5">
      <c r="B19" s="5"/>
      <c r="C19" s="5"/>
      <c r="D19" s="5"/>
      <c r="E19" s="5"/>
    </row>
    <row r="20" spans="1:5">
      <c r="B20" s="5"/>
      <c r="C20" s="5"/>
      <c r="D20" s="5"/>
      <c r="E20" s="5"/>
    </row>
    <row r="21" spans="1:5">
      <c r="B21" s="5"/>
      <c r="C21" s="5"/>
      <c r="D21" s="5"/>
      <c r="E21" s="5"/>
    </row>
    <row r="22" spans="1:5">
      <c r="B22" s="5"/>
      <c r="C22" s="5"/>
      <c r="D22" s="5"/>
      <c r="E22" s="5"/>
    </row>
    <row r="23" spans="1:5">
      <c r="B23" s="5"/>
      <c r="C23" s="5"/>
      <c r="D23" s="5"/>
      <c r="E23" s="5"/>
    </row>
    <row r="24" spans="1:5">
      <c r="B24" s="5"/>
      <c r="C24" s="5"/>
      <c r="D24" s="5"/>
      <c r="E24" s="5"/>
    </row>
    <row r="25" spans="1:5">
      <c r="B25" s="5"/>
      <c r="C25" s="5"/>
      <c r="D25" s="5"/>
      <c r="E25" s="5"/>
    </row>
    <row r="26" spans="1:5">
      <c r="B26" s="5"/>
      <c r="C26" s="5"/>
      <c r="D26" s="5"/>
      <c r="E2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32" sqref="C32"/>
    </sheetView>
  </sheetViews>
  <sheetFormatPr defaultRowHeight="15"/>
  <cols>
    <col min="1" max="1" width="28.140625" customWidth="1"/>
    <col min="2" max="2" width="13.42578125" customWidth="1"/>
    <col min="3" max="3" width="18.28515625" customWidth="1"/>
    <col min="4" max="4" width="18.140625" customWidth="1"/>
  </cols>
  <sheetData>
    <row r="1" spans="1:5" ht="21">
      <c r="A1" s="1" t="s">
        <v>41</v>
      </c>
      <c r="B1" s="9"/>
      <c r="C1" s="9"/>
    </row>
    <row r="2" spans="1:5" ht="15.75">
      <c r="A2" s="9" t="s">
        <v>9</v>
      </c>
    </row>
    <row r="4" spans="1:5" ht="15.75">
      <c r="A4" s="9" t="s">
        <v>34</v>
      </c>
      <c r="B4" s="16" t="s">
        <v>35</v>
      </c>
      <c r="C4" s="16" t="s">
        <v>36</v>
      </c>
      <c r="D4" s="16" t="s">
        <v>37</v>
      </c>
    </row>
    <row r="5" spans="1:5" ht="15.75">
      <c r="A5" s="9" t="s">
        <v>10</v>
      </c>
    </row>
    <row r="6" spans="1:5">
      <c r="A6" t="s">
        <v>11</v>
      </c>
      <c r="B6" s="3">
        <v>3700000</v>
      </c>
      <c r="C6" s="3">
        <v>3980000</v>
      </c>
      <c r="D6" s="148">
        <f>C6-B6</f>
        <v>280000</v>
      </c>
      <c r="E6" s="5"/>
    </row>
    <row r="7" spans="1:5">
      <c r="B7" s="3"/>
      <c r="C7" s="3"/>
      <c r="D7" s="147"/>
      <c r="E7" s="5"/>
    </row>
    <row r="8" spans="1:5" ht="15.75">
      <c r="A8" s="9" t="s">
        <v>12</v>
      </c>
      <c r="B8" s="3"/>
      <c r="C8" s="3"/>
      <c r="D8" s="147"/>
      <c r="E8" s="5"/>
    </row>
    <row r="9" spans="1:5">
      <c r="A9" t="s">
        <v>38</v>
      </c>
      <c r="B9" s="3">
        <v>2100000</v>
      </c>
      <c r="C9" s="3">
        <v>2320000</v>
      </c>
      <c r="D9" s="146">
        <f>B9-C9</f>
        <v>-220000</v>
      </c>
      <c r="E9" s="5"/>
    </row>
    <row r="10" spans="1:5">
      <c r="A10" t="s">
        <v>39</v>
      </c>
      <c r="B10" s="3">
        <v>900000</v>
      </c>
      <c r="C10" s="3">
        <v>945000</v>
      </c>
      <c r="D10" s="146">
        <f t="shared" ref="D10:D12" si="0">B10-C10</f>
        <v>-45000</v>
      </c>
      <c r="E10" s="5"/>
    </row>
    <row r="11" spans="1:5">
      <c r="A11" t="s">
        <v>26</v>
      </c>
      <c r="B11" s="3">
        <v>210000</v>
      </c>
      <c r="C11" s="3">
        <v>215000</v>
      </c>
      <c r="D11" s="146">
        <f t="shared" si="0"/>
        <v>-5000</v>
      </c>
      <c r="E11" s="5"/>
    </row>
    <row r="12" spans="1:5">
      <c r="A12" t="s">
        <v>17</v>
      </c>
      <c r="B12" s="3">
        <v>160000</v>
      </c>
      <c r="C12" s="3">
        <v>160000</v>
      </c>
      <c r="D12" s="146">
        <f t="shared" si="0"/>
        <v>0</v>
      </c>
      <c r="E12" s="5"/>
    </row>
    <row r="13" spans="1:5">
      <c r="A13" t="s">
        <v>42</v>
      </c>
      <c r="B13" s="3">
        <v>56000</v>
      </c>
      <c r="C13" s="3">
        <v>50000</v>
      </c>
      <c r="D13" s="148">
        <f>B13-C13</f>
        <v>6000</v>
      </c>
      <c r="E13" s="5"/>
    </row>
    <row r="14" spans="1:5">
      <c r="A14" t="s">
        <v>40</v>
      </c>
      <c r="B14" s="3">
        <v>120000</v>
      </c>
      <c r="C14" s="3">
        <v>140000</v>
      </c>
      <c r="D14" s="149">
        <f>B14-C14</f>
        <v>-20000</v>
      </c>
      <c r="E14" s="5"/>
    </row>
    <row r="15" spans="1:5">
      <c r="B15" s="3"/>
      <c r="C15" s="3"/>
      <c r="D15" s="147"/>
      <c r="E15" s="5"/>
    </row>
    <row r="16" spans="1:5">
      <c r="A16" t="s">
        <v>19</v>
      </c>
      <c r="B16" s="3">
        <f>SUM(B9:B15)</f>
        <v>3546000</v>
      </c>
      <c r="C16" s="3">
        <f>SUM(C9:C15)</f>
        <v>3830000</v>
      </c>
      <c r="D16" s="146">
        <f>B16-C16</f>
        <v>-284000</v>
      </c>
      <c r="E16" s="5"/>
    </row>
    <row r="17" spans="1:5">
      <c r="B17" s="3"/>
      <c r="C17" s="3"/>
      <c r="D17" s="147"/>
      <c r="E17" s="5"/>
    </row>
    <row r="18" spans="1:5" ht="15.75">
      <c r="A18" s="9" t="s">
        <v>32</v>
      </c>
      <c r="B18" s="3">
        <f>B6-B16</f>
        <v>154000</v>
      </c>
      <c r="C18" s="3">
        <f>C6-C16</f>
        <v>150000</v>
      </c>
      <c r="D18" s="146">
        <f>C18-B18</f>
        <v>-4000</v>
      </c>
      <c r="E18" s="5"/>
    </row>
    <row r="19" spans="1:5">
      <c r="B19" s="5"/>
      <c r="C19" s="5"/>
      <c r="D19" s="5"/>
      <c r="E19" s="5"/>
    </row>
    <row r="20" spans="1:5">
      <c r="B20" s="5"/>
      <c r="C20" s="5"/>
      <c r="D20" s="5"/>
      <c r="E20" s="5"/>
    </row>
    <row r="21" spans="1:5">
      <c r="B21" s="5"/>
      <c r="C21" s="5"/>
      <c r="D21" s="5"/>
      <c r="E21" s="5"/>
    </row>
    <row r="22" spans="1:5">
      <c r="B22" s="5"/>
      <c r="C22" s="5"/>
      <c r="D22" s="5"/>
      <c r="E22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24" sqref="F24"/>
    </sheetView>
  </sheetViews>
  <sheetFormatPr defaultRowHeight="15"/>
  <cols>
    <col min="1" max="1" width="21.140625" customWidth="1"/>
    <col min="2" max="2" width="12.5703125" customWidth="1"/>
    <col min="3" max="3" width="13.7109375" customWidth="1"/>
    <col min="4" max="4" width="13.85546875" customWidth="1"/>
  </cols>
  <sheetData>
    <row r="1" spans="1:5" ht="21">
      <c r="A1" s="17" t="s">
        <v>43</v>
      </c>
    </row>
    <row r="2" spans="1:5" ht="21">
      <c r="A2" s="17"/>
    </row>
    <row r="3" spans="1:5" ht="15.75">
      <c r="A3" s="9" t="s">
        <v>34</v>
      </c>
      <c r="B3" s="13" t="s">
        <v>44</v>
      </c>
      <c r="C3" s="13" t="s">
        <v>45</v>
      </c>
      <c r="D3" s="13" t="s">
        <v>46</v>
      </c>
      <c r="E3" s="18"/>
    </row>
    <row r="4" spans="1:5" ht="15.75">
      <c r="A4" s="9" t="s">
        <v>47</v>
      </c>
      <c r="B4" s="18"/>
      <c r="C4" s="18"/>
      <c r="D4" s="18"/>
      <c r="E4" s="18"/>
    </row>
    <row r="5" spans="1:5" ht="15.75">
      <c r="A5" s="12" t="s">
        <v>48</v>
      </c>
      <c r="B5" s="151">
        <v>1700000</v>
      </c>
      <c r="C5" s="151">
        <v>1250000</v>
      </c>
      <c r="D5" s="151">
        <v>1250000</v>
      </c>
      <c r="E5" s="19"/>
    </row>
    <row r="6" spans="1:5" ht="15.75">
      <c r="A6" s="9" t="s">
        <v>49</v>
      </c>
      <c r="B6" s="152"/>
      <c r="C6" s="152"/>
      <c r="D6" s="152"/>
      <c r="E6" s="19"/>
    </row>
    <row r="7" spans="1:5" ht="15.75">
      <c r="A7" s="12" t="s">
        <v>50</v>
      </c>
      <c r="B7" s="151">
        <v>1200000</v>
      </c>
      <c r="C7" s="151">
        <v>1200000</v>
      </c>
      <c r="D7" s="151">
        <v>1200000</v>
      </c>
      <c r="E7" s="19"/>
    </row>
    <row r="8" spans="1:5" ht="15.75">
      <c r="A8" s="12" t="s">
        <v>51</v>
      </c>
      <c r="B8" s="151">
        <v>0</v>
      </c>
      <c r="C8" s="151">
        <v>0</v>
      </c>
      <c r="D8" s="151">
        <v>200000</v>
      </c>
      <c r="E8" s="19"/>
    </row>
    <row r="9" spans="1:5" ht="15.75">
      <c r="A9" s="12" t="s">
        <v>52</v>
      </c>
      <c r="B9" s="151">
        <v>400000</v>
      </c>
      <c r="C9" s="151">
        <v>400000</v>
      </c>
      <c r="D9" s="151">
        <v>400000</v>
      </c>
      <c r="E9" s="19"/>
    </row>
    <row r="10" spans="1:5" ht="15.75">
      <c r="A10" s="12" t="s">
        <v>53</v>
      </c>
      <c r="B10" s="151">
        <v>25000</v>
      </c>
      <c r="C10" s="151">
        <v>25000</v>
      </c>
      <c r="D10" s="151">
        <v>25000</v>
      </c>
      <c r="E10" s="19"/>
    </row>
    <row r="11" spans="1:5" ht="15.75">
      <c r="A11" s="12" t="s">
        <v>29</v>
      </c>
      <c r="B11" s="151">
        <v>180000</v>
      </c>
      <c r="C11" s="151">
        <v>0</v>
      </c>
      <c r="D11" s="151">
        <v>0</v>
      </c>
      <c r="E11" s="19"/>
    </row>
    <row r="12" spans="1:5" ht="15.75">
      <c r="A12" s="12" t="s">
        <v>54</v>
      </c>
      <c r="B12" s="153">
        <v>80000</v>
      </c>
      <c r="C12" s="151">
        <v>0</v>
      </c>
      <c r="D12" s="151">
        <v>0</v>
      </c>
      <c r="E12" s="19"/>
    </row>
    <row r="13" spans="1:5" ht="15.75">
      <c r="A13" s="12" t="s">
        <v>55</v>
      </c>
      <c r="B13" s="151">
        <f>SUM(B7:B12)</f>
        <v>1885000</v>
      </c>
      <c r="C13" s="151">
        <f>SUM(C7:C12)</f>
        <v>1625000</v>
      </c>
      <c r="D13" s="151">
        <f>SUM(D7:D12)</f>
        <v>1825000</v>
      </c>
      <c r="E13" s="19"/>
    </row>
    <row r="14" spans="1:5" ht="15.75">
      <c r="B14" s="12"/>
      <c r="C14" s="12"/>
      <c r="D14" s="12"/>
      <c r="E14" s="19"/>
    </row>
    <row r="15" spans="1:5">
      <c r="A15" s="12" t="s">
        <v>56</v>
      </c>
      <c r="B15" s="151">
        <f>B5-B13</f>
        <v>-185000</v>
      </c>
      <c r="C15" s="151">
        <f>C5-C13</f>
        <v>-375000</v>
      </c>
      <c r="D15" s="151">
        <f>D5-D13</f>
        <v>-575000</v>
      </c>
      <c r="E15" s="18"/>
    </row>
    <row r="16" spans="1:5">
      <c r="A16" s="20" t="s">
        <v>57</v>
      </c>
      <c r="B16" s="151">
        <v>400000</v>
      </c>
      <c r="C16" s="151">
        <f>B17</f>
        <v>215000</v>
      </c>
      <c r="D16" s="151">
        <f>C17</f>
        <v>-160000</v>
      </c>
      <c r="E16" s="18"/>
    </row>
    <row r="17" spans="1:5">
      <c r="A17" s="12" t="s">
        <v>58</v>
      </c>
      <c r="B17" s="151">
        <f>B15+B16</f>
        <v>215000</v>
      </c>
      <c r="C17" s="151">
        <f>C15+C16</f>
        <v>-160000</v>
      </c>
      <c r="D17" s="151">
        <f>D15+D16</f>
        <v>-735000</v>
      </c>
      <c r="E17" s="18"/>
    </row>
    <row r="18" spans="1:5">
      <c r="B18" s="21"/>
      <c r="C18" s="21"/>
      <c r="D18" s="21"/>
      <c r="E18" s="21"/>
    </row>
    <row r="19" spans="1:5">
      <c r="B19" s="21"/>
      <c r="C19" s="21"/>
      <c r="D19" s="21"/>
      <c r="E19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20" sqref="E20"/>
    </sheetView>
  </sheetViews>
  <sheetFormatPr defaultRowHeight="15"/>
  <cols>
    <col min="1" max="1" width="32.140625" customWidth="1"/>
  </cols>
  <sheetData>
    <row r="1" spans="1:5" ht="21">
      <c r="A1" s="1" t="s">
        <v>59</v>
      </c>
    </row>
    <row r="2" spans="1:5" ht="15.75">
      <c r="A2" s="9" t="s">
        <v>9</v>
      </c>
    </row>
    <row r="3" spans="1:5" ht="15.75">
      <c r="A3" s="9" t="s">
        <v>34</v>
      </c>
      <c r="B3" s="13" t="s">
        <v>44</v>
      </c>
      <c r="C3" s="13" t="s">
        <v>45</v>
      </c>
      <c r="D3" s="13" t="s">
        <v>46</v>
      </c>
    </row>
    <row r="4" spans="1:5" ht="15.75">
      <c r="A4" s="9" t="s">
        <v>47</v>
      </c>
      <c r="B4" s="13"/>
      <c r="C4" s="13"/>
      <c r="D4" s="13"/>
    </row>
    <row r="5" spans="1:5" ht="15.75">
      <c r="A5" s="12" t="s">
        <v>60</v>
      </c>
      <c r="B5" s="151">
        <v>280000</v>
      </c>
      <c r="C5" s="151">
        <v>280000</v>
      </c>
      <c r="D5" s="151">
        <v>210000</v>
      </c>
      <c r="E5" s="14"/>
    </row>
    <row r="6" spans="1:5" ht="15.75">
      <c r="A6" s="9" t="s">
        <v>49</v>
      </c>
      <c r="B6" s="154"/>
      <c r="C6" s="154"/>
      <c r="D6" s="154"/>
      <c r="E6" s="5"/>
    </row>
    <row r="7" spans="1:5">
      <c r="A7" s="12" t="s">
        <v>61</v>
      </c>
      <c r="B7" s="37">
        <v>85000</v>
      </c>
      <c r="C7" s="37">
        <v>70000</v>
      </c>
      <c r="D7" s="37">
        <v>50000</v>
      </c>
      <c r="E7" s="5"/>
    </row>
    <row r="8" spans="1:5">
      <c r="A8" s="12" t="s">
        <v>62</v>
      </c>
      <c r="B8" s="37">
        <v>125000</v>
      </c>
      <c r="C8" s="37">
        <v>110000</v>
      </c>
      <c r="D8" s="37">
        <v>110000</v>
      </c>
      <c r="E8" s="5"/>
    </row>
    <row r="9" spans="1:5">
      <c r="A9" s="12" t="s">
        <v>63</v>
      </c>
      <c r="B9" s="37">
        <v>30000</v>
      </c>
      <c r="C9" s="37">
        <v>30000</v>
      </c>
      <c r="D9" s="37">
        <v>30000</v>
      </c>
      <c r="E9" s="5"/>
    </row>
    <row r="10" spans="1:5">
      <c r="A10" s="12" t="s">
        <v>64</v>
      </c>
      <c r="B10" s="37">
        <v>25000</v>
      </c>
      <c r="C10" s="37">
        <v>25000</v>
      </c>
      <c r="D10" s="37">
        <v>25000</v>
      </c>
      <c r="E10" s="5"/>
    </row>
    <row r="11" spans="1:5">
      <c r="A11" s="12" t="s">
        <v>65</v>
      </c>
      <c r="B11" s="37">
        <v>16000</v>
      </c>
      <c r="C11" s="37">
        <v>16000</v>
      </c>
      <c r="D11" s="37">
        <v>16000</v>
      </c>
      <c r="E11" s="5"/>
    </row>
    <row r="12" spans="1:5">
      <c r="A12" s="12" t="s">
        <v>18</v>
      </c>
      <c r="B12" s="37">
        <v>0</v>
      </c>
      <c r="C12" s="37">
        <v>0</v>
      </c>
      <c r="D12" s="37">
        <v>20000</v>
      </c>
      <c r="E12" s="5"/>
    </row>
    <row r="13" spans="1:5">
      <c r="A13" s="12" t="s">
        <v>66</v>
      </c>
      <c r="B13" s="37">
        <v>0</v>
      </c>
      <c r="C13" s="37">
        <v>0</v>
      </c>
      <c r="D13" s="37">
        <v>30000</v>
      </c>
      <c r="E13" s="5"/>
    </row>
    <row r="14" spans="1:5">
      <c r="A14" s="12" t="s">
        <v>67</v>
      </c>
      <c r="B14" s="37">
        <v>0</v>
      </c>
      <c r="C14" s="37">
        <v>12000</v>
      </c>
      <c r="D14" s="37">
        <v>0</v>
      </c>
      <c r="E14" s="5"/>
    </row>
    <row r="15" spans="1:5">
      <c r="A15" s="12" t="s">
        <v>68</v>
      </c>
      <c r="B15" s="37">
        <v>5000</v>
      </c>
      <c r="C15" s="37">
        <v>5000</v>
      </c>
      <c r="D15" s="37">
        <v>5000</v>
      </c>
      <c r="E15" s="5"/>
    </row>
    <row r="16" spans="1:5">
      <c r="A16" s="12" t="s">
        <v>55</v>
      </c>
      <c r="B16" s="37">
        <f>SUM(B7:B15)</f>
        <v>286000</v>
      </c>
      <c r="C16" s="37">
        <f t="shared" ref="C16:D16" si="0">SUM(C7:C15)</f>
        <v>268000</v>
      </c>
      <c r="D16" s="37">
        <f t="shared" si="0"/>
        <v>286000</v>
      </c>
      <c r="E16" s="5"/>
    </row>
    <row r="17" spans="1:5">
      <c r="B17" s="12"/>
      <c r="C17" s="12"/>
      <c r="D17" s="12"/>
      <c r="E17" s="5"/>
    </row>
    <row r="18" spans="1:5" ht="15.75">
      <c r="A18" s="12" t="s">
        <v>69</v>
      </c>
      <c r="B18" s="151">
        <f>B5-B16</f>
        <v>-6000</v>
      </c>
      <c r="C18" s="151">
        <f>C5-C16</f>
        <v>12000</v>
      </c>
      <c r="D18" s="151">
        <f>D5-D16</f>
        <v>-76000</v>
      </c>
      <c r="E18" s="14"/>
    </row>
    <row r="19" spans="1:5" ht="15.75">
      <c r="A19" s="20" t="s">
        <v>57</v>
      </c>
      <c r="B19" s="151">
        <v>45000</v>
      </c>
      <c r="C19" s="151">
        <f>B20</f>
        <v>39000</v>
      </c>
      <c r="D19" s="151">
        <f>C20</f>
        <v>51000</v>
      </c>
      <c r="E19" s="14"/>
    </row>
    <row r="20" spans="1:5" ht="15.75">
      <c r="A20" s="12" t="s">
        <v>58</v>
      </c>
      <c r="B20" s="151">
        <f>B18+B19</f>
        <v>39000</v>
      </c>
      <c r="C20" s="151">
        <f>C18+C19</f>
        <v>51000</v>
      </c>
      <c r="D20" s="151">
        <f>D18+D19</f>
        <v>-25000</v>
      </c>
      <c r="E20" s="14"/>
    </row>
    <row r="21" spans="1:5">
      <c r="B21" s="5"/>
      <c r="C21" s="5"/>
      <c r="D21" s="5"/>
      <c r="E21" s="5"/>
    </row>
    <row r="22" spans="1:5">
      <c r="B22" s="5"/>
      <c r="C22" s="5"/>
      <c r="D22" s="5"/>
      <c r="E22" s="5"/>
    </row>
    <row r="23" spans="1:5">
      <c r="B23" s="5"/>
      <c r="C23" s="5"/>
      <c r="D23" s="5"/>
      <c r="E23" s="5"/>
    </row>
    <row r="24" spans="1:5">
      <c r="B24" s="5"/>
      <c r="C24" s="5"/>
      <c r="D24" s="5"/>
      <c r="E24" s="5"/>
    </row>
    <row r="25" spans="1:5">
      <c r="B25" s="5"/>
      <c r="C25" s="5"/>
      <c r="D25" s="5"/>
      <c r="E25" s="5"/>
    </row>
    <row r="26" spans="1:5">
      <c r="B26" s="5"/>
      <c r="C26" s="5"/>
      <c r="D26" s="5"/>
      <c r="E26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11" sqref="I11"/>
    </sheetView>
  </sheetViews>
  <sheetFormatPr defaultRowHeight="15"/>
  <cols>
    <col min="1" max="1" width="29.5703125" customWidth="1"/>
  </cols>
  <sheetData>
    <row r="1" spans="1:5" ht="21">
      <c r="A1" s="17" t="s">
        <v>70</v>
      </c>
    </row>
    <row r="2" spans="1:5" ht="21">
      <c r="A2" s="17" t="s">
        <v>71</v>
      </c>
    </row>
    <row r="3" spans="1:5" ht="15.75">
      <c r="A3" s="9" t="s">
        <v>34</v>
      </c>
      <c r="B3" s="13" t="s">
        <v>72</v>
      </c>
      <c r="C3" s="13" t="s">
        <v>73</v>
      </c>
      <c r="D3" s="13" t="s">
        <v>74</v>
      </c>
    </row>
    <row r="4" spans="1:5" ht="15.75">
      <c r="A4" s="9" t="s">
        <v>47</v>
      </c>
    </row>
    <row r="5" spans="1:5" ht="15.75">
      <c r="A5" s="12" t="s">
        <v>11</v>
      </c>
      <c r="B5" s="37">
        <v>270000</v>
      </c>
      <c r="C5" s="37">
        <v>300000</v>
      </c>
      <c r="D5" s="37">
        <v>230000</v>
      </c>
      <c r="E5" s="14"/>
    </row>
    <row r="6" spans="1:5" ht="15.75">
      <c r="A6" s="9" t="s">
        <v>49</v>
      </c>
      <c r="B6" s="38"/>
      <c r="C6" s="38"/>
      <c r="D6" s="38"/>
      <c r="E6" s="14"/>
    </row>
    <row r="7" spans="1:5" ht="15.75">
      <c r="A7" s="12" t="s">
        <v>75</v>
      </c>
      <c r="B7" s="37">
        <v>80000</v>
      </c>
      <c r="C7" s="37">
        <v>90000</v>
      </c>
      <c r="D7" s="37">
        <v>50000</v>
      </c>
      <c r="E7" s="14"/>
    </row>
    <row r="8" spans="1:5" ht="15.75">
      <c r="A8" s="12" t="s">
        <v>76</v>
      </c>
      <c r="B8" s="37">
        <v>125000</v>
      </c>
      <c r="C8" s="37">
        <v>110000</v>
      </c>
      <c r="D8" s="37">
        <v>110000</v>
      </c>
      <c r="E8" s="14"/>
    </row>
    <row r="9" spans="1:5" ht="15.75">
      <c r="A9" s="12" t="s">
        <v>77</v>
      </c>
      <c r="B9" s="37">
        <v>30000</v>
      </c>
      <c r="C9" s="37">
        <v>30000</v>
      </c>
      <c r="D9" s="37">
        <v>30000</v>
      </c>
      <c r="E9" s="14"/>
    </row>
    <row r="10" spans="1:5" ht="15.75">
      <c r="A10" s="12" t="s">
        <v>78</v>
      </c>
      <c r="B10" s="37">
        <v>28000</v>
      </c>
      <c r="C10" s="37">
        <v>28000</v>
      </c>
      <c r="D10" s="37">
        <v>28000</v>
      </c>
      <c r="E10" s="14"/>
    </row>
    <row r="11" spans="1:5" ht="15.75">
      <c r="A11" s="12" t="s">
        <v>65</v>
      </c>
      <c r="B11" s="37">
        <v>15000</v>
      </c>
      <c r="C11" s="37">
        <v>15000</v>
      </c>
      <c r="D11" s="37">
        <v>15000</v>
      </c>
      <c r="E11" s="14"/>
    </row>
    <row r="12" spans="1:5" ht="15.75">
      <c r="A12" s="12" t="s">
        <v>54</v>
      </c>
      <c r="B12" s="37">
        <v>0</v>
      </c>
      <c r="C12" s="37">
        <v>0</v>
      </c>
      <c r="D12" s="37">
        <v>35000</v>
      </c>
      <c r="E12" s="14"/>
    </row>
    <row r="13" spans="1:5" ht="15.75">
      <c r="A13" s="12" t="s">
        <v>79</v>
      </c>
      <c r="B13" s="37">
        <v>0</v>
      </c>
      <c r="C13" s="37">
        <v>8000</v>
      </c>
      <c r="D13" s="37">
        <v>0</v>
      </c>
      <c r="E13" s="14"/>
    </row>
    <row r="14" spans="1:5" ht="15.75">
      <c r="A14" s="12" t="s">
        <v>80</v>
      </c>
      <c r="B14" s="37">
        <v>5000</v>
      </c>
      <c r="C14" s="37">
        <v>5000</v>
      </c>
      <c r="D14" s="37">
        <v>5000</v>
      </c>
      <c r="E14" s="14"/>
    </row>
    <row r="15" spans="1:5" ht="15.75">
      <c r="A15" s="12" t="s">
        <v>55</v>
      </c>
      <c r="B15" s="37">
        <f>SUM(B7:B14)</f>
        <v>283000</v>
      </c>
      <c r="C15" s="37">
        <f t="shared" ref="C15" si="0">SUM(C7:C14)</f>
        <v>286000</v>
      </c>
      <c r="D15" s="37">
        <f>SUM(D7:D14)</f>
        <v>273000</v>
      </c>
      <c r="E15" s="14"/>
    </row>
    <row r="16" spans="1:5" ht="15.75">
      <c r="B16" s="12"/>
      <c r="C16" s="12"/>
      <c r="D16" s="12"/>
      <c r="E16" s="14"/>
    </row>
    <row r="17" spans="1:5" ht="15.75">
      <c r="A17" s="12" t="s">
        <v>81</v>
      </c>
      <c r="B17" s="151">
        <f>B5-B15</f>
        <v>-13000</v>
      </c>
      <c r="C17" s="151">
        <f>C5-C15</f>
        <v>14000</v>
      </c>
      <c r="D17" s="151">
        <f>D5-D15</f>
        <v>-43000</v>
      </c>
      <c r="E17" s="14"/>
    </row>
    <row r="18" spans="1:5" ht="15.75">
      <c r="A18" s="12" t="s">
        <v>57</v>
      </c>
      <c r="B18" s="151">
        <v>40000</v>
      </c>
      <c r="C18" s="151">
        <f>B19</f>
        <v>27000</v>
      </c>
      <c r="D18" s="151">
        <f>C19</f>
        <v>41000</v>
      </c>
      <c r="E18" s="14"/>
    </row>
    <row r="19" spans="1:5" ht="15.75">
      <c r="A19" s="12" t="s">
        <v>58</v>
      </c>
      <c r="B19" s="151">
        <f>B17+B18</f>
        <v>27000</v>
      </c>
      <c r="C19" s="151">
        <f>C17+C18</f>
        <v>41000</v>
      </c>
      <c r="D19" s="151">
        <f>D17+D18</f>
        <v>-2000</v>
      </c>
      <c r="E19" s="14"/>
    </row>
    <row r="20" spans="1:5" ht="15.75">
      <c r="B20" s="14"/>
      <c r="C20" s="14"/>
      <c r="D20" s="14"/>
      <c r="E20" s="14"/>
    </row>
    <row r="21" spans="1:5" ht="15.75">
      <c r="B21" s="14"/>
      <c r="C21" s="14"/>
      <c r="D21" s="14"/>
      <c r="E21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29" sqref="B29"/>
    </sheetView>
  </sheetViews>
  <sheetFormatPr defaultRowHeight="15"/>
  <cols>
    <col min="1" max="1" width="38.42578125" customWidth="1"/>
    <col min="2" max="2" width="19.140625" customWidth="1"/>
    <col min="5" max="5" width="37.85546875" customWidth="1"/>
    <col min="6" max="6" width="15" customWidth="1"/>
    <col min="7" max="7" width="11.7109375" customWidth="1"/>
    <col min="8" max="8" width="14" customWidth="1"/>
  </cols>
  <sheetData>
    <row r="1" spans="1:8" ht="21">
      <c r="A1" s="1" t="s">
        <v>82</v>
      </c>
      <c r="E1" s="28" t="s">
        <v>95</v>
      </c>
    </row>
    <row r="2" spans="1:8" ht="15.75">
      <c r="A2" s="22" t="s">
        <v>83</v>
      </c>
      <c r="E2" s="9" t="s">
        <v>96</v>
      </c>
    </row>
    <row r="4" spans="1:8" ht="15.75">
      <c r="A4" s="9" t="s">
        <v>22</v>
      </c>
      <c r="E4" s="25"/>
      <c r="F4" s="29" t="s">
        <v>46</v>
      </c>
      <c r="G4" s="29" t="s">
        <v>72</v>
      </c>
      <c r="H4" s="29" t="s">
        <v>73</v>
      </c>
    </row>
    <row r="5" spans="1:8">
      <c r="A5" s="22" t="s">
        <v>10</v>
      </c>
      <c r="E5" s="30" t="s">
        <v>47</v>
      </c>
      <c r="F5" s="31"/>
      <c r="G5" s="31"/>
      <c r="H5" s="31"/>
    </row>
    <row r="6" spans="1:8">
      <c r="A6" t="s">
        <v>84</v>
      </c>
      <c r="B6" s="3">
        <f>14*24*9*400</f>
        <v>1209600</v>
      </c>
      <c r="E6" s="32" t="s">
        <v>97</v>
      </c>
      <c r="F6" s="33">
        <v>2700000</v>
      </c>
      <c r="G6" s="34"/>
      <c r="H6" s="34"/>
    </row>
    <row r="7" spans="1:8">
      <c r="A7" t="s">
        <v>85</v>
      </c>
      <c r="B7" s="23">
        <f>24*2*2*9*500</f>
        <v>432000</v>
      </c>
      <c r="E7" s="32" t="s">
        <v>84</v>
      </c>
      <c r="F7" s="33">
        <v>134400</v>
      </c>
      <c r="G7" s="33">
        <v>134400</v>
      </c>
      <c r="H7" s="33">
        <v>134400</v>
      </c>
    </row>
    <row r="8" spans="1:8">
      <c r="A8" t="s">
        <v>86</v>
      </c>
      <c r="B8" s="3">
        <f>SUM(B6:B7)</f>
        <v>1641600</v>
      </c>
      <c r="E8" s="32" t="s">
        <v>85</v>
      </c>
      <c r="F8" s="35">
        <v>48000</v>
      </c>
      <c r="G8" s="35">
        <v>48000</v>
      </c>
      <c r="H8" s="35">
        <v>48000</v>
      </c>
    </row>
    <row r="9" spans="1:8">
      <c r="A9" s="24"/>
      <c r="B9" s="5"/>
      <c r="E9" s="32" t="s">
        <v>98</v>
      </c>
      <c r="F9" s="33">
        <f>SUM(F6:F8)</f>
        <v>2882400</v>
      </c>
      <c r="G9" s="33">
        <f>SUM(G7:G8)</f>
        <v>182400</v>
      </c>
      <c r="H9" s="33">
        <f>SUM(H7:H8)</f>
        <v>182400</v>
      </c>
    </row>
    <row r="10" spans="1:8">
      <c r="A10" s="25" t="s">
        <v>12</v>
      </c>
      <c r="B10" s="5"/>
      <c r="E10" s="32"/>
      <c r="F10" s="36"/>
      <c r="G10" s="36"/>
      <c r="H10" s="36"/>
    </row>
    <row r="11" spans="1:8">
      <c r="A11" s="24" t="s">
        <v>87</v>
      </c>
      <c r="B11" s="3">
        <f>0.35*1209600</f>
        <v>423360</v>
      </c>
      <c r="E11" s="30" t="s">
        <v>49</v>
      </c>
      <c r="F11" s="31"/>
      <c r="G11" s="31"/>
      <c r="H11" s="31"/>
    </row>
    <row r="12" spans="1:8">
      <c r="A12" s="26" t="s">
        <v>88</v>
      </c>
      <c r="B12" s="3">
        <f>24*2*2*9*25</f>
        <v>21600</v>
      </c>
      <c r="E12" s="32" t="s">
        <v>87</v>
      </c>
      <c r="F12" s="33">
        <v>47040</v>
      </c>
      <c r="G12" s="33">
        <v>47040</v>
      </c>
      <c r="H12" s="33">
        <v>47040</v>
      </c>
    </row>
    <row r="13" spans="1:8">
      <c r="A13" s="26" t="s">
        <v>52</v>
      </c>
      <c r="B13" s="3">
        <f>16000*1.4*9</f>
        <v>201600</v>
      </c>
      <c r="E13" s="32" t="s">
        <v>99</v>
      </c>
      <c r="F13" s="33">
        <v>2400</v>
      </c>
      <c r="G13" s="33">
        <v>2400</v>
      </c>
      <c r="H13" s="33">
        <v>2400</v>
      </c>
    </row>
    <row r="14" spans="1:8">
      <c r="A14" s="26" t="s">
        <v>89</v>
      </c>
      <c r="B14" s="27">
        <v>45000</v>
      </c>
      <c r="E14" s="32" t="s">
        <v>77</v>
      </c>
      <c r="F14" s="33">
        <v>10400</v>
      </c>
      <c r="G14" s="33">
        <v>10400</v>
      </c>
      <c r="H14" s="33">
        <v>10400</v>
      </c>
    </row>
    <row r="15" spans="1:8">
      <c r="A15" s="26" t="s">
        <v>90</v>
      </c>
      <c r="B15" s="3">
        <v>27000</v>
      </c>
      <c r="E15" s="32" t="s">
        <v>100</v>
      </c>
      <c r="F15" s="34">
        <v>0</v>
      </c>
      <c r="G15" s="33">
        <v>12000</v>
      </c>
      <c r="H15" s="33">
        <v>12000</v>
      </c>
    </row>
    <row r="16" spans="1:8">
      <c r="A16" s="26" t="s">
        <v>91</v>
      </c>
      <c r="B16" s="3">
        <v>18000</v>
      </c>
      <c r="E16" s="32" t="s">
        <v>89</v>
      </c>
      <c r="F16" s="33">
        <v>5000</v>
      </c>
      <c r="G16" s="33">
        <v>5000</v>
      </c>
      <c r="H16" s="33">
        <v>5000</v>
      </c>
    </row>
    <row r="17" spans="1:8">
      <c r="A17" s="26" t="s">
        <v>92</v>
      </c>
      <c r="B17" s="3">
        <v>18000</v>
      </c>
      <c r="E17" s="32" t="s">
        <v>90</v>
      </c>
      <c r="F17" s="33">
        <v>3000</v>
      </c>
      <c r="G17" s="33">
        <v>3000</v>
      </c>
      <c r="H17" s="33">
        <v>3000</v>
      </c>
    </row>
    <row r="18" spans="1:8">
      <c r="A18" s="26" t="s">
        <v>31</v>
      </c>
      <c r="B18" s="3">
        <f>2700000*0.06</f>
        <v>162000</v>
      </c>
      <c r="E18" s="32" t="s">
        <v>91</v>
      </c>
      <c r="F18" s="33">
        <v>2000</v>
      </c>
      <c r="G18" s="33">
        <v>2000</v>
      </c>
      <c r="H18" s="33">
        <v>2000</v>
      </c>
    </row>
    <row r="19" spans="1:8">
      <c r="A19" s="26" t="s">
        <v>93</v>
      </c>
      <c r="B19" s="3">
        <f>2800000/40</f>
        <v>70000</v>
      </c>
      <c r="E19" s="32" t="s">
        <v>92</v>
      </c>
      <c r="F19" s="33">
        <v>2000</v>
      </c>
      <c r="G19" s="33">
        <v>2000</v>
      </c>
      <c r="H19" s="33">
        <v>2000</v>
      </c>
    </row>
    <row r="20" spans="1:8">
      <c r="A20" s="26" t="s">
        <v>94</v>
      </c>
      <c r="B20" s="3">
        <f>200000/10</f>
        <v>20000</v>
      </c>
      <c r="E20" s="32" t="s">
        <v>101</v>
      </c>
      <c r="F20" s="33">
        <v>3000000</v>
      </c>
      <c r="G20" s="34">
        <v>0</v>
      </c>
      <c r="H20" s="34">
        <v>0</v>
      </c>
    </row>
    <row r="21" spans="1:8">
      <c r="A21" s="26" t="s">
        <v>19</v>
      </c>
      <c r="B21" s="3">
        <f>SUM(B11:B20)</f>
        <v>1006560</v>
      </c>
      <c r="E21" s="32" t="s">
        <v>18</v>
      </c>
      <c r="F21" s="34">
        <v>0</v>
      </c>
      <c r="G21" s="34">
        <v>0</v>
      </c>
      <c r="H21" s="33">
        <v>40500</v>
      </c>
    </row>
    <row r="22" spans="1:8">
      <c r="E22" s="32" t="s">
        <v>102</v>
      </c>
      <c r="F22" s="34">
        <v>0</v>
      </c>
      <c r="G22" s="34">
        <v>0</v>
      </c>
      <c r="H22" s="33">
        <v>27000</v>
      </c>
    </row>
    <row r="23" spans="1:8">
      <c r="A23" s="26" t="s">
        <v>32</v>
      </c>
      <c r="B23" s="3">
        <f>B8-B21</f>
        <v>635040</v>
      </c>
      <c r="E23" s="32" t="s">
        <v>103</v>
      </c>
      <c r="F23" s="35">
        <v>40000</v>
      </c>
      <c r="G23" s="35">
        <v>40000</v>
      </c>
      <c r="H23" s="35">
        <v>40000</v>
      </c>
    </row>
    <row r="24" spans="1:8">
      <c r="E24" s="32" t="s">
        <v>55</v>
      </c>
      <c r="F24" s="33">
        <f>SUM(F12:F23)</f>
        <v>3111840</v>
      </c>
      <c r="G24" s="33">
        <f>SUM(G12:G23)</f>
        <v>123840</v>
      </c>
      <c r="H24" s="33">
        <f>SUM(H12:H23)</f>
        <v>191340</v>
      </c>
    </row>
    <row r="25" spans="1:8">
      <c r="E25" s="32"/>
      <c r="F25" s="31"/>
      <c r="G25" s="31"/>
      <c r="H25" s="31"/>
    </row>
    <row r="26" spans="1:8">
      <c r="E26" s="32" t="s">
        <v>69</v>
      </c>
      <c r="F26" s="33">
        <f>F9-F24</f>
        <v>-229440</v>
      </c>
      <c r="G26" s="33">
        <f>G9-G24</f>
        <v>58560</v>
      </c>
      <c r="H26" s="33">
        <f>H9-H24</f>
        <v>-8940</v>
      </c>
    </row>
    <row r="27" spans="1:8">
      <c r="E27" s="32" t="s">
        <v>57</v>
      </c>
      <c r="F27" s="33">
        <v>300000</v>
      </c>
      <c r="G27" s="33">
        <f>F28</f>
        <v>70560</v>
      </c>
      <c r="H27" s="33">
        <f>G28</f>
        <v>129120</v>
      </c>
    </row>
    <row r="28" spans="1:8">
      <c r="E28" s="32" t="s">
        <v>58</v>
      </c>
      <c r="F28" s="33">
        <f>F26+F27</f>
        <v>70560</v>
      </c>
      <c r="G28" s="33">
        <f>G26+G27</f>
        <v>129120</v>
      </c>
      <c r="H28" s="33">
        <f>H26+H27</f>
        <v>120180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25</vt:i4>
      </vt:variant>
    </vt:vector>
  </HeadingPairs>
  <TitlesOfParts>
    <vt:vector size="25" baseType="lpstr">
      <vt:lpstr>2.13</vt:lpstr>
      <vt:lpstr>8.9</vt:lpstr>
      <vt:lpstr>8.10</vt:lpstr>
      <vt:lpstr>8.11</vt:lpstr>
      <vt:lpstr>8.12</vt:lpstr>
      <vt:lpstr>8.13</vt:lpstr>
      <vt:lpstr>8.14</vt:lpstr>
      <vt:lpstr>8.15</vt:lpstr>
      <vt:lpstr>8.17</vt:lpstr>
      <vt:lpstr>9.4</vt:lpstr>
      <vt:lpstr>9.5</vt:lpstr>
      <vt:lpstr>9.6</vt:lpstr>
      <vt:lpstr>9.12</vt:lpstr>
      <vt:lpstr>10.9</vt:lpstr>
      <vt:lpstr>10.10</vt:lpstr>
      <vt:lpstr>10.11</vt:lpstr>
      <vt:lpstr>22.3</vt:lpstr>
      <vt:lpstr>22.4</vt:lpstr>
      <vt:lpstr>23.2</vt:lpstr>
      <vt:lpstr>23.3</vt:lpstr>
      <vt:lpstr>23.4</vt:lpstr>
      <vt:lpstr>23.5</vt:lpstr>
      <vt:lpstr>23.7</vt:lpstr>
      <vt:lpstr>23.8</vt:lpstr>
      <vt:lpstr>23.9</vt:lpstr>
    </vt:vector>
  </TitlesOfParts>
  <Company>Infinitas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Björnsson Söderberg</dc:creator>
  <cp:lastModifiedBy>Anna Klöble</cp:lastModifiedBy>
  <dcterms:created xsi:type="dcterms:W3CDTF">2017-10-06T08:42:08Z</dcterms:created>
  <dcterms:modified xsi:type="dcterms:W3CDTF">2018-06-18T11:53:56Z</dcterms:modified>
</cp:coreProperties>
</file>